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<sst xmlns="http://schemas.openxmlformats.org/spreadsheetml/2006/main" count="149" uniqueCount="59">
  <si>
    <t>Сводный баланс по исполнению консолидированного бюджета Буйского муниципального района за 9 месяцев 2009 г.</t>
  </si>
  <si>
    <t>Приложение №1</t>
  </si>
  <si>
    <t>СОБСТВЕННЫЕ ДОХОДЫ</t>
  </si>
  <si>
    <t>в том числе</t>
  </si>
  <si>
    <t>Безвозмездные поступления</t>
  </si>
  <si>
    <t>ВСЕГО доходов</t>
  </si>
  <si>
    <t>ВСЕГО РАСХОДОВ</t>
  </si>
  <si>
    <t>Дефицит (-) Профицит (+)</t>
  </si>
  <si>
    <t>Налоговые доходы</t>
  </si>
  <si>
    <t>НДФЛ</t>
  </si>
  <si>
    <t>Неналоговые доходы</t>
  </si>
  <si>
    <t>Дотации, субвенции, субсидии областного бюджета</t>
  </si>
  <si>
    <t>Дотации из районного  фонда финансовой  поддержки поселений, формируемого за счет субвенций областного бюджета</t>
  </si>
  <si>
    <t>прочие межбюджетные трансферты,передаваемые бюджетам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</si>
  <si>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</si>
  <si>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поселений на осуществление федеральных полномочий по государственной регистрации актов гражданского состояния (ЗАГС)</t>
  </si>
  <si>
    <t>Субвенции по административным правонарушениям</t>
  </si>
  <si>
    <t>Субвенции бюджетам поселений на осуществление полномочий по первичному воинскому учету на территориях, где отсутсвуют военные комиссариаты</t>
  </si>
  <si>
    <t>Общегосударственные вопросы</t>
  </si>
  <si>
    <t>ЖКХ</t>
  </si>
  <si>
    <t>Культура</t>
  </si>
  <si>
    <t>ЗАГСы</t>
  </si>
  <si>
    <t>Воинский учет</t>
  </si>
  <si>
    <t>ГОЧС пожары, ОВД</t>
  </si>
  <si>
    <t>Национальная экономика</t>
  </si>
  <si>
    <t>Охрана окружающей среды</t>
  </si>
  <si>
    <t>Образование</t>
  </si>
  <si>
    <t>Здравоохр. и спорт</t>
  </si>
  <si>
    <t>Соцполитика</t>
  </si>
  <si>
    <t>Межбюджетные</t>
  </si>
  <si>
    <t>Общегос. К собств.доходам</t>
  </si>
  <si>
    <t>Барановское сельское поселение</t>
  </si>
  <si>
    <t>первонач. план на 2008 г</t>
  </si>
  <si>
    <t>Ут.план 09г</t>
  </si>
  <si>
    <t>факт</t>
  </si>
  <si>
    <t>% выпол.</t>
  </si>
  <si>
    <t>Боровское сельское поселение</t>
  </si>
  <si>
    <t>Воскресенское сельское поселение</t>
  </si>
  <si>
    <t>Гавриловское сельское поселение</t>
  </si>
  <si>
    <t>Гагаринское сельское поселение</t>
  </si>
  <si>
    <t>Дорское сельское поселение</t>
  </si>
  <si>
    <t>Дьяконовское сельское поселение</t>
  </si>
  <si>
    <t>Елегинское сельское поселение</t>
  </si>
  <si>
    <t>Каплинское сельское поселение</t>
  </si>
  <si>
    <t>Контеевское сельское поселение</t>
  </si>
  <si>
    <t>Корежское сельское поселение</t>
  </si>
  <si>
    <t>Креневское сельское поселение</t>
  </si>
  <si>
    <t>Куриловское сельское поселение</t>
  </si>
  <si>
    <t>Ликургское сельское поселение</t>
  </si>
  <si>
    <t>Лужковское сельское поселение</t>
  </si>
  <si>
    <t>Пилятинское сельское поселение</t>
  </si>
  <si>
    <t>Романцевское сельское поселение</t>
  </si>
  <si>
    <t>Талицкое сельское поселение</t>
  </si>
  <si>
    <t>Шушкодомское сельское поселение</t>
  </si>
  <si>
    <t>г.п.Чистые Боры</t>
  </si>
  <si>
    <t>ИТОГО по сельским и городскому поселениям</t>
  </si>
  <si>
    <t>Буйский район</t>
  </si>
  <si>
    <t>ВСЕГО Буйский муниципальный район</t>
  </si>
  <si>
    <t>к информации об исполнении бюджета Буйского муниципального района за 9 месяцев 2009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</si>
</sst>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0000"/>
    <numFmt numFmtId="167" formatCode="0.000"/>
    <numFmt numFmtId="168" formatCode="#,##0.0"/>
    <numFmt numFmtId="169" formatCode="#,##0.00_ ;[Red]\-#,##0.00\ "/>
    <numFmt numFmtId="170" formatCode="0.0"/>
    <numFmt numFmtId="171" formatCode="0.0_ ;[Red]\-0.0\ "/>
  </numFmts>
  <fonts count="11">
    <font>
      <sz val="10"/>
      <name val="Arial Cyr"/>
      <family val="0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Arial Cyr"/>
      <family val="2"/>
    </font>
    <font>
      <b/>
      <sz val="12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readingOrder="1"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readingOrder="1"/>
    </xf>
    <xf numFmtId="0" fontId="3" fillId="0" borderId="0" xfId="0" applyFont="1" applyFill="1" applyAlignment="1">
      <alignment readingOrder="1"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Fill="1" applyAlignment="1">
      <alignment wrapText="1"/>
    </xf>
    <xf numFmtId="165" fontId="6" fillId="0" borderId="1" xfId="0" applyNumberFormat="1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6" fontId="2" fillId="3" borderId="2" xfId="0" applyNumberFormat="1" applyFont="1" applyFill="1" applyBorder="1" applyAlignment="1">
      <alignment/>
    </xf>
    <xf numFmtId="167" fontId="5" fillId="0" borderId="2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5" fontId="6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/>
    </xf>
    <xf numFmtId="168" fontId="2" fillId="3" borderId="2" xfId="0" applyNumberFormat="1" applyFont="1" applyFill="1" applyBorder="1" applyAlignment="1">
      <alignment/>
    </xf>
    <xf numFmtId="168" fontId="5" fillId="0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 horizontal="right" vertical="top" wrapText="1" readingOrder="1"/>
    </xf>
    <xf numFmtId="165" fontId="6" fillId="0" borderId="2" xfId="0" applyNumberFormat="1" applyFont="1" applyFill="1" applyBorder="1" applyAlignment="1">
      <alignment horizontal="right" vertical="top" wrapText="1"/>
    </xf>
    <xf numFmtId="168" fontId="5" fillId="0" borderId="2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right" vertical="top" wrapText="1" readingOrder="1"/>
    </xf>
    <xf numFmtId="168" fontId="6" fillId="3" borderId="2" xfId="0" applyNumberFormat="1" applyFont="1" applyFill="1" applyBorder="1" applyAlignment="1">
      <alignment horizontal="right" vertical="top" wrapText="1" readingOrder="1"/>
    </xf>
    <xf numFmtId="168" fontId="6" fillId="0" borderId="2" xfId="0" applyNumberFormat="1" applyFont="1" applyFill="1" applyBorder="1" applyAlignment="1">
      <alignment horizontal="right" vertical="top" wrapText="1" readingOrder="1"/>
    </xf>
    <xf numFmtId="2" fontId="6" fillId="0" borderId="2" xfId="0" applyNumberFormat="1" applyFont="1" applyFill="1" applyBorder="1" applyAlignment="1">
      <alignment horizontal="right" vertical="top" wrapText="1" readingOrder="1"/>
    </xf>
    <xf numFmtId="168" fontId="2" fillId="3" borderId="2" xfId="0" applyNumberFormat="1" applyFont="1" applyFill="1" applyBorder="1" applyAlignment="1">
      <alignment/>
    </xf>
    <xf numFmtId="168" fontId="5" fillId="0" borderId="2" xfId="0" applyNumberFormat="1" applyFont="1" applyFill="1" applyBorder="1" applyAlignment="1">
      <alignment/>
    </xf>
    <xf numFmtId="165" fontId="9" fillId="0" borderId="2" xfId="0" applyNumberFormat="1" applyFont="1" applyFill="1" applyBorder="1" applyAlignment="1">
      <alignment/>
    </xf>
    <xf numFmtId="169" fontId="2" fillId="0" borderId="2" xfId="0" applyNumberFormat="1" applyFont="1" applyFill="1" applyBorder="1" applyAlignment="1">
      <alignment/>
    </xf>
    <xf numFmtId="170" fontId="2" fillId="2" borderId="2" xfId="0" applyNumberFormat="1" applyFont="1" applyFill="1" applyBorder="1" applyAlignment="1">
      <alignment/>
    </xf>
    <xf numFmtId="170" fontId="5" fillId="0" borderId="2" xfId="0" applyNumberFormat="1" applyFont="1" applyFill="1" applyBorder="1" applyAlignment="1">
      <alignment/>
    </xf>
    <xf numFmtId="170" fontId="6" fillId="0" borderId="2" xfId="0" applyNumberFormat="1" applyFont="1" applyFill="1" applyBorder="1" applyAlignment="1">
      <alignment horizontal="right" wrapText="1"/>
    </xf>
    <xf numFmtId="170" fontId="2" fillId="0" borderId="2" xfId="0" applyNumberFormat="1" applyFont="1" applyFill="1" applyBorder="1" applyAlignment="1">
      <alignment/>
    </xf>
    <xf numFmtId="170" fontId="5" fillId="0" borderId="2" xfId="0" applyNumberFormat="1" applyFont="1" applyFill="1" applyBorder="1" applyAlignment="1">
      <alignment/>
    </xf>
    <xf numFmtId="170" fontId="5" fillId="0" borderId="2" xfId="0" applyNumberFormat="1" applyFont="1" applyFill="1" applyBorder="1" applyAlignment="1">
      <alignment/>
    </xf>
    <xf numFmtId="170" fontId="2" fillId="2" borderId="2" xfId="0" applyNumberFormat="1" applyFont="1" applyFill="1" applyBorder="1" applyAlignment="1">
      <alignment/>
    </xf>
    <xf numFmtId="170" fontId="5" fillId="0" borderId="2" xfId="0" applyNumberFormat="1" applyFont="1" applyFill="1" applyBorder="1" applyAlignment="1">
      <alignment/>
    </xf>
    <xf numFmtId="170" fontId="6" fillId="0" borderId="2" xfId="0" applyNumberFormat="1" applyFont="1" applyFill="1" applyBorder="1" applyAlignment="1">
      <alignment horizontal="right" vertical="top" wrapText="1" readingOrder="1"/>
    </xf>
    <xf numFmtId="170" fontId="2" fillId="0" borderId="2" xfId="0" applyNumberFormat="1" applyFont="1" applyFill="1" applyBorder="1" applyAlignment="1">
      <alignment/>
    </xf>
    <xf numFmtId="170" fontId="6" fillId="0" borderId="2" xfId="0" applyNumberFormat="1" applyFont="1" applyFill="1" applyBorder="1" applyAlignment="1">
      <alignment horizontal="right" vertical="top" wrapText="1"/>
    </xf>
    <xf numFmtId="170" fontId="6" fillId="2" borderId="2" xfId="0" applyNumberFormat="1" applyFont="1" applyFill="1" applyBorder="1" applyAlignment="1">
      <alignment horizontal="right" vertical="top" wrapText="1" readingOrder="1"/>
    </xf>
    <xf numFmtId="171" fontId="5" fillId="0" borderId="2" xfId="0" applyNumberFormat="1" applyFont="1" applyFill="1" applyBorder="1" applyAlignment="1">
      <alignment/>
    </xf>
    <xf numFmtId="165" fontId="7" fillId="4" borderId="1" xfId="0" applyNumberFormat="1" applyFont="1" applyFill="1" applyBorder="1" applyAlignment="1">
      <alignment horizontal="center" wrapText="1"/>
    </xf>
    <xf numFmtId="170" fontId="7" fillId="4" borderId="2" xfId="0" applyNumberFormat="1" applyFont="1" applyFill="1" applyBorder="1" applyAlignment="1">
      <alignment horizontal="right" wrapText="1"/>
    </xf>
    <xf numFmtId="170" fontId="2" fillId="4" borderId="2" xfId="0" applyNumberFormat="1" applyFont="1" applyFill="1" applyBorder="1" applyAlignment="1">
      <alignment/>
    </xf>
    <xf numFmtId="168" fontId="2" fillId="4" borderId="2" xfId="0" applyNumberFormat="1" applyFont="1" applyFill="1" applyBorder="1" applyAlignment="1">
      <alignment/>
    </xf>
    <xf numFmtId="168" fontId="7" fillId="4" borderId="2" xfId="0" applyNumberFormat="1" applyFont="1" applyFill="1" applyBorder="1" applyAlignment="1">
      <alignment horizontal="right" wrapText="1"/>
    </xf>
    <xf numFmtId="170" fontId="2" fillId="4" borderId="2" xfId="0" applyNumberFormat="1" applyFont="1" applyFill="1" applyBorder="1" applyAlignment="1">
      <alignment/>
    </xf>
    <xf numFmtId="165" fontId="7" fillId="4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right" wrapText="1"/>
    </xf>
    <xf numFmtId="1" fontId="2" fillId="4" borderId="2" xfId="0" applyNumberFormat="1" applyFont="1" applyFill="1" applyBorder="1" applyAlignment="1">
      <alignment/>
    </xf>
    <xf numFmtId="168" fontId="7" fillId="4" borderId="2" xfId="0" applyNumberFormat="1" applyFont="1" applyFill="1" applyBorder="1" applyAlignment="1">
      <alignment horizontal="right" vertical="top" wrapText="1"/>
    </xf>
    <xf numFmtId="168" fontId="7" fillId="4" borderId="2" xfId="0" applyNumberFormat="1" applyFont="1" applyFill="1" applyBorder="1" applyAlignment="1">
      <alignment horizontal="right" vertical="top" wrapText="1"/>
    </xf>
    <xf numFmtId="170" fontId="7" fillId="4" borderId="2" xfId="0" applyNumberFormat="1" applyFont="1" applyFill="1" applyBorder="1" applyAlignment="1">
      <alignment horizontal="right" vertical="top" wrapText="1"/>
    </xf>
    <xf numFmtId="170" fontId="2" fillId="4" borderId="2" xfId="0" applyNumberFormat="1" applyFont="1" applyFill="1" applyBorder="1" applyAlignment="1">
      <alignment/>
    </xf>
    <xf numFmtId="165" fontId="7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/>
    </xf>
    <xf numFmtId="170" fontId="7" fillId="2" borderId="2" xfId="0" applyNumberFormat="1" applyFont="1" applyFill="1" applyBorder="1" applyAlignment="1">
      <alignment horizontal="right" vertical="top" wrapText="1" readingOrder="1"/>
    </xf>
    <xf numFmtId="170" fontId="7" fillId="4" borderId="2" xfId="0" applyNumberFormat="1" applyFont="1" applyFill="1" applyBorder="1" applyAlignment="1">
      <alignment horizontal="right" vertical="top" wrapText="1" readingOrder="1"/>
    </xf>
    <xf numFmtId="168" fontId="7" fillId="4" borderId="2" xfId="0" applyNumberFormat="1" applyFont="1" applyFill="1" applyBorder="1" applyAlignment="1">
      <alignment horizontal="right" vertical="top" wrapText="1" readingOrder="1"/>
    </xf>
    <xf numFmtId="165" fontId="7" fillId="5" borderId="1" xfId="0" applyNumberFormat="1" applyFont="1" applyFill="1" applyBorder="1" applyAlignment="1">
      <alignment horizontal="center" wrapText="1"/>
    </xf>
    <xf numFmtId="170" fontId="2" fillId="5" borderId="2" xfId="0" applyNumberFormat="1" applyFont="1" applyFill="1" applyBorder="1" applyAlignment="1">
      <alignment/>
    </xf>
    <xf numFmtId="170" fontId="7" fillId="5" borderId="2" xfId="0" applyNumberFormat="1" applyFont="1" applyFill="1" applyBorder="1" applyAlignment="1">
      <alignment horizontal="right" wrapText="1"/>
    </xf>
    <xf numFmtId="168" fontId="2" fillId="5" borderId="2" xfId="0" applyNumberFormat="1" applyFont="1" applyFill="1" applyBorder="1" applyAlignment="1">
      <alignment/>
    </xf>
    <xf numFmtId="170" fontId="2" fillId="5" borderId="2" xfId="0" applyNumberFormat="1" applyFont="1" applyFill="1" applyBorder="1" applyAlignment="1">
      <alignment/>
    </xf>
    <xf numFmtId="165" fontId="7" fillId="5" borderId="2" xfId="0" applyNumberFormat="1" applyFont="1" applyFill="1" applyBorder="1" applyAlignment="1">
      <alignment horizontal="center" vertical="center" wrapText="1"/>
    </xf>
    <xf numFmtId="170" fontId="2" fillId="6" borderId="2" xfId="0" applyNumberFormat="1" applyFont="1" applyFill="1" applyBorder="1" applyAlignment="1">
      <alignment/>
    </xf>
    <xf numFmtId="168" fontId="2" fillId="5" borderId="2" xfId="0" applyNumberFormat="1" applyFont="1" applyFill="1" applyBorder="1" applyAlignment="1">
      <alignment/>
    </xf>
    <xf numFmtId="170" fontId="2" fillId="5" borderId="2" xfId="0" applyNumberFormat="1" applyFont="1" applyFill="1" applyBorder="1" applyAlignment="1">
      <alignment/>
    </xf>
    <xf numFmtId="165" fontId="7" fillId="5" borderId="1" xfId="0" applyNumberFormat="1" applyFont="1" applyFill="1" applyBorder="1" applyAlignment="1">
      <alignment horizontal="center" vertical="center" wrapText="1"/>
    </xf>
    <xf numFmtId="170" fontId="2" fillId="5" borderId="2" xfId="0" applyNumberFormat="1" applyFont="1" applyFill="1" applyBorder="1" applyAlignment="1">
      <alignment/>
    </xf>
    <xf numFmtId="170" fontId="7" fillId="5" borderId="2" xfId="0" applyNumberFormat="1" applyFont="1" applyFill="1" applyBorder="1" applyAlignment="1">
      <alignment horizontal="right" vertical="top" wrapText="1" readingOrder="1"/>
    </xf>
    <xf numFmtId="170" fontId="7" fillId="5" borderId="2" xfId="0" applyNumberFormat="1" applyFont="1" applyFill="1" applyBorder="1" applyAlignment="1">
      <alignment horizontal="right" vertical="top" wrapText="1"/>
    </xf>
    <xf numFmtId="165" fontId="2" fillId="5" borderId="1" xfId="0" applyNumberFormat="1" applyFont="1" applyFill="1" applyBorder="1" applyAlignment="1">
      <alignment horizontal="center"/>
    </xf>
    <xf numFmtId="168" fontId="7" fillId="5" borderId="2" xfId="0" applyNumberFormat="1" applyFont="1" applyFill="1" applyBorder="1" applyAlignment="1">
      <alignment horizontal="right" vertical="top" wrapText="1" readingOrder="1"/>
    </xf>
    <xf numFmtId="165" fontId="7" fillId="7" borderId="2" xfId="0" applyNumberFormat="1" applyFont="1" applyFill="1" applyBorder="1" applyAlignment="1">
      <alignment horizontal="center" wrapText="1"/>
    </xf>
    <xf numFmtId="170" fontId="7" fillId="7" borderId="2" xfId="0" applyNumberFormat="1" applyFont="1" applyFill="1" applyBorder="1" applyAlignment="1">
      <alignment horizontal="right" wrapText="1"/>
    </xf>
    <xf numFmtId="170" fontId="2" fillId="7" borderId="2" xfId="0" applyNumberFormat="1" applyFont="1" applyFill="1" applyBorder="1" applyAlignment="1">
      <alignment/>
    </xf>
    <xf numFmtId="168" fontId="2" fillId="7" borderId="2" xfId="0" applyNumberFormat="1" applyFont="1" applyFill="1" applyBorder="1" applyAlignment="1">
      <alignment/>
    </xf>
    <xf numFmtId="168" fontId="7" fillId="7" borderId="2" xfId="0" applyNumberFormat="1" applyFont="1" applyFill="1" applyBorder="1" applyAlignment="1">
      <alignment horizontal="right" wrapText="1"/>
    </xf>
    <xf numFmtId="170" fontId="10" fillId="7" borderId="2" xfId="0" applyNumberFormat="1" applyFont="1" applyFill="1" applyBorder="1" applyAlignment="1">
      <alignment horizontal="right" wrapText="1"/>
    </xf>
    <xf numFmtId="170" fontId="2" fillId="7" borderId="2" xfId="0" applyNumberFormat="1" applyFont="1" applyFill="1" applyBorder="1" applyAlignment="1">
      <alignment/>
    </xf>
    <xf numFmtId="165" fontId="7" fillId="7" borderId="2" xfId="0" applyNumberFormat="1" applyFont="1" applyFill="1" applyBorder="1" applyAlignment="1">
      <alignment horizontal="center" vertical="center" wrapText="1"/>
    </xf>
    <xf numFmtId="168" fontId="2" fillId="7" borderId="2" xfId="0" applyNumberFormat="1" applyFont="1" applyFill="1" applyBorder="1" applyAlignment="1">
      <alignment/>
    </xf>
    <xf numFmtId="168" fontId="7" fillId="7" borderId="2" xfId="0" applyNumberFormat="1" applyFont="1" applyFill="1" applyBorder="1" applyAlignment="1">
      <alignment horizontal="right" vertical="top" wrapText="1"/>
    </xf>
    <xf numFmtId="170" fontId="7" fillId="7" borderId="2" xfId="0" applyNumberFormat="1" applyFont="1" applyFill="1" applyBorder="1" applyAlignment="1">
      <alignment horizontal="right" vertical="top" wrapText="1"/>
    </xf>
    <xf numFmtId="168" fontId="2" fillId="6" borderId="2" xfId="0" applyNumberFormat="1" applyFont="1" applyFill="1" applyBorder="1" applyAlignment="1">
      <alignment/>
    </xf>
    <xf numFmtId="167" fontId="7" fillId="7" borderId="2" xfId="0" applyNumberFormat="1" applyFont="1" applyFill="1" applyBorder="1" applyAlignment="1">
      <alignment horizontal="right" vertical="top" wrapText="1"/>
    </xf>
    <xf numFmtId="165" fontId="2" fillId="7" borderId="2" xfId="0" applyNumberFormat="1" applyFont="1" applyFill="1" applyBorder="1" applyAlignment="1">
      <alignment horizontal="center"/>
    </xf>
    <xf numFmtId="170" fontId="7" fillId="7" borderId="2" xfId="0" applyNumberFormat="1" applyFont="1" applyFill="1" applyBorder="1" applyAlignment="1">
      <alignment horizontal="right" vertical="top" wrapText="1" readingOrder="1"/>
    </xf>
    <xf numFmtId="168" fontId="7" fillId="7" borderId="2" xfId="0" applyNumberFormat="1" applyFont="1" applyFill="1" applyBorder="1" applyAlignment="1">
      <alignment horizontal="right" vertical="top" wrapText="1" readingOrder="1"/>
    </xf>
    <xf numFmtId="165" fontId="5" fillId="0" borderId="0" xfId="0" applyNumberFormat="1" applyFont="1" applyFill="1" applyAlignment="1">
      <alignment horizontal="left" wrapText="1"/>
    </xf>
    <xf numFmtId="165" fontId="5" fillId="0" borderId="0" xfId="0" applyNumberFormat="1" applyFont="1" applyFill="1" applyAlignment="1">
      <alignment readingOrder="1"/>
    </xf>
    <xf numFmtId="166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2" fillId="7" borderId="2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left" vertical="top" wrapText="1"/>
    </xf>
    <xf numFmtId="165" fontId="5" fillId="0" borderId="4" xfId="0" applyNumberFormat="1" applyFont="1" applyFill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horizontal="left" vertical="top" wrapText="1"/>
    </xf>
    <xf numFmtId="165" fontId="2" fillId="4" borderId="3" xfId="0" applyNumberFormat="1" applyFont="1" applyFill="1" applyBorder="1" applyAlignment="1">
      <alignment horizontal="left" vertical="top" wrapText="1"/>
    </xf>
    <xf numFmtId="165" fontId="2" fillId="4" borderId="4" xfId="0" applyNumberFormat="1" applyFont="1" applyFill="1" applyBorder="1" applyAlignment="1">
      <alignment horizontal="left" vertical="top" wrapText="1"/>
    </xf>
    <xf numFmtId="165" fontId="2" fillId="5" borderId="1" xfId="0" applyNumberFormat="1" applyFont="1" applyFill="1" applyBorder="1" applyAlignment="1">
      <alignment horizontal="left" vertical="top" wrapText="1"/>
    </xf>
    <xf numFmtId="165" fontId="2" fillId="5" borderId="3" xfId="0" applyNumberFormat="1" applyFont="1" applyFill="1" applyBorder="1" applyAlignment="1">
      <alignment horizontal="left" vertical="top" wrapText="1"/>
    </xf>
    <xf numFmtId="165" fontId="2" fillId="5" borderId="4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165" fontId="6" fillId="0" borderId="4" xfId="0" applyNumberFormat="1" applyFont="1" applyFill="1" applyBorder="1" applyAlignment="1">
      <alignment horizontal="center" vertical="center" textRotation="90" wrapText="1"/>
    </xf>
    <xf numFmtId="165" fontId="6" fillId="0" borderId="2" xfId="0" applyNumberFormat="1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165" fontId="8" fillId="0" borderId="1" xfId="0" applyNumberFormat="1" applyFont="1" applyFill="1" applyBorder="1" applyAlignment="1">
      <alignment horizontal="center" vertical="center" textRotation="90" wrapText="1" readingOrder="1"/>
    </xf>
    <xf numFmtId="165" fontId="8" fillId="0" borderId="4" xfId="0" applyNumberFormat="1" applyFont="1" applyFill="1" applyBorder="1" applyAlignment="1">
      <alignment horizontal="center" vertical="center" textRotation="90" wrapText="1" readingOrder="1"/>
    </xf>
    <xf numFmtId="165" fontId="5" fillId="0" borderId="4" xfId="0" applyNumberFormat="1" applyFont="1" applyFill="1" applyBorder="1" applyAlignment="1">
      <alignment horizontal="center" vertical="center" textRotation="90" wrapText="1" readingOrder="1"/>
    </xf>
    <xf numFmtId="167" fontId="6" fillId="0" borderId="1" xfId="0" applyNumberFormat="1" applyFont="1" applyFill="1" applyBorder="1" applyAlignment="1">
      <alignment horizontal="center" vertical="center" textRotation="90" wrapText="1"/>
    </xf>
    <xf numFmtId="167" fontId="5" fillId="0" borderId="4" xfId="0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textRotation="90" wrapText="1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textRotation="90" wrapText="1"/>
    </xf>
    <xf numFmtId="165" fontId="7" fillId="0" borderId="3" xfId="0" applyNumberFormat="1" applyFont="1" applyFill="1" applyBorder="1" applyAlignment="1">
      <alignment horizontal="center" vertical="center" textRotation="90" wrapText="1"/>
    </xf>
    <xf numFmtId="165" fontId="7" fillId="0" borderId="4" xfId="0" applyNumberFormat="1" applyFont="1" applyFill="1" applyBorder="1" applyAlignment="1">
      <alignment horizontal="center" vertical="center" textRotation="90" wrapText="1"/>
    </xf>
    <xf numFmtId="165" fontId="2" fillId="0" borderId="1" xfId="0" applyNumberFormat="1" applyFont="1" applyFill="1" applyBorder="1" applyAlignment="1">
      <alignment horizontal="center" vertical="center" textRotation="90" wrapText="1"/>
    </xf>
    <xf numFmtId="165" fontId="2" fillId="0" borderId="4" xfId="0" applyNumberFormat="1" applyFont="1" applyFill="1" applyBorder="1" applyAlignment="1">
      <alignment horizontal="center" vertical="center" textRotation="90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textRotation="90" wrapText="1" readingOrder="1"/>
    </xf>
    <xf numFmtId="165" fontId="6" fillId="0" borderId="4" xfId="0" applyNumberFormat="1" applyFont="1" applyFill="1" applyBorder="1" applyAlignment="1">
      <alignment horizontal="center" vertical="center" textRotation="90" wrapText="1" readingOrder="1"/>
    </xf>
    <xf numFmtId="165" fontId="8" fillId="0" borderId="1" xfId="0" applyNumberFormat="1" applyFont="1" applyFill="1" applyBorder="1" applyAlignment="1">
      <alignment horizontal="left" vertical="center" textRotation="90" wrapText="1" readingOrder="1"/>
    </xf>
    <xf numFmtId="0" fontId="5" fillId="0" borderId="4" xfId="0" applyFont="1" applyFill="1" applyBorder="1" applyAlignment="1">
      <alignment horizontal="left" vertical="center" textRotation="90" wrapText="1" readingOrder="1"/>
    </xf>
    <xf numFmtId="165" fontId="8" fillId="0" borderId="1" xfId="0" applyNumberFormat="1" applyFont="1" applyFill="1" applyBorder="1" applyAlignment="1">
      <alignment horizontal="center" vertical="center" textRotation="90" wrapText="1" readingOrder="1"/>
    </xf>
    <xf numFmtId="165" fontId="8" fillId="0" borderId="4" xfId="0" applyNumberFormat="1" applyFont="1" applyFill="1" applyBorder="1" applyAlignment="1">
      <alignment horizontal="center" vertical="center" textRotation="90" wrapText="1" readingOrder="1"/>
    </xf>
    <xf numFmtId="165" fontId="8" fillId="0" borderId="1" xfId="0" applyNumberFormat="1" applyFont="1" applyFill="1" applyBorder="1" applyAlignment="1">
      <alignment horizontal="justify" vertical="center" textRotation="90" wrapText="1" readingOrder="1"/>
    </xf>
    <xf numFmtId="0" fontId="5" fillId="0" borderId="4" xfId="0" applyFont="1" applyFill="1" applyBorder="1" applyAlignment="1">
      <alignment horizontal="justify" vertical="center" textRotation="90" wrapText="1" readingOrder="1"/>
    </xf>
    <xf numFmtId="0" fontId="5" fillId="0" borderId="4" xfId="0" applyFont="1" applyFill="1" applyBorder="1" applyAlignment="1">
      <alignment horizontal="center" vertical="center" textRotation="90" wrapText="1" readingOrder="1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left" wrapText="1"/>
    </xf>
    <xf numFmtId="165" fontId="5" fillId="0" borderId="3" xfId="0" applyNumberFormat="1" applyFont="1" applyFill="1" applyBorder="1" applyAlignment="1">
      <alignment horizontal="left" wrapText="1"/>
    </xf>
    <xf numFmtId="165" fontId="5" fillId="0" borderId="4" xfId="0" applyNumberFormat="1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textRotation="90"/>
    </xf>
    <xf numFmtId="165" fontId="2" fillId="2" borderId="3" xfId="0" applyNumberFormat="1" applyFont="1" applyFill="1" applyBorder="1" applyAlignment="1">
      <alignment horizontal="center" vertical="center" textRotation="90"/>
    </xf>
    <xf numFmtId="165" fontId="2" fillId="2" borderId="4" xfId="0" applyNumberFormat="1" applyFont="1" applyFill="1" applyBorder="1" applyAlignment="1">
      <alignment horizontal="center" vertical="center" textRotation="90"/>
    </xf>
    <xf numFmtId="165" fontId="6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textRotation="90" wrapText="1"/>
    </xf>
    <xf numFmtId="165" fontId="2" fillId="0" borderId="3" xfId="0" applyNumberFormat="1" applyFont="1" applyFill="1" applyBorder="1" applyAlignment="1">
      <alignment horizontal="center" vertical="center" textRotation="90" wrapText="1"/>
    </xf>
    <xf numFmtId="165" fontId="2" fillId="0" borderId="4" xfId="0" applyNumberFormat="1" applyFont="1" applyFill="1" applyBorder="1" applyAlignment="1">
      <alignment horizontal="center" vertical="center" textRotation="90" wrapText="1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justify" vertical="center"/>
    </xf>
    <xf numFmtId="165" fontId="2" fillId="0" borderId="3" xfId="0" applyNumberFormat="1" applyFont="1" applyFill="1" applyBorder="1" applyAlignment="1">
      <alignment horizontal="justify" vertical="center"/>
    </xf>
    <xf numFmtId="165" fontId="2" fillId="0" borderId="4" xfId="0" applyNumberFormat="1" applyFont="1" applyFill="1" applyBorder="1" applyAlignment="1">
      <alignment horizontal="justify" vertical="center"/>
    </xf>
    <xf numFmtId="166" fontId="7" fillId="3" borderId="1" xfId="0" applyNumberFormat="1" applyFont="1" applyFill="1" applyBorder="1" applyAlignment="1">
      <alignment horizontal="center" vertical="center" textRotation="90" wrapText="1"/>
    </xf>
    <xf numFmtId="166" fontId="7" fillId="3" borderId="3" xfId="0" applyNumberFormat="1" applyFont="1" applyFill="1" applyBorder="1" applyAlignment="1">
      <alignment horizontal="center" vertical="center" textRotation="90" wrapText="1"/>
    </xf>
    <xf numFmtId="166" fontId="2" fillId="3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zoomScale="75" zoomScaleNormal="75" workbookViewId="0" topLeftCell="R1">
      <selection activeCell="Q4" sqref="Q4:AB4"/>
    </sheetView>
  </sheetViews>
  <sheetFormatPr defaultColWidth="9.00390625" defaultRowHeight="12.75"/>
  <cols>
    <col min="1" max="1" width="26.875" style="110" customWidth="1"/>
    <col min="2" max="2" width="15.75390625" style="16" customWidth="1"/>
    <col min="3" max="3" width="13.125" style="11" customWidth="1"/>
    <col min="4" max="4" width="15.25390625" style="16" customWidth="1"/>
    <col min="5" max="5" width="10.75390625" style="111" customWidth="1"/>
    <col min="6" max="6" width="13.625" style="111" customWidth="1"/>
    <col min="7" max="7" width="17.125" style="16" customWidth="1"/>
    <col min="8" max="8" width="13.00390625" style="16" customWidth="1"/>
    <col min="9" max="10" width="14.375" style="16" customWidth="1"/>
    <col min="11" max="11" width="21.25390625" style="16" customWidth="1"/>
    <col min="12" max="13" width="12.00390625" style="16" customWidth="1"/>
    <col min="14" max="14" width="17.75390625" style="16" customWidth="1"/>
    <col min="15" max="15" width="14.625" style="16" customWidth="1"/>
    <col min="16" max="16" width="17.00390625" style="112" customWidth="1"/>
    <col min="17" max="17" width="15.00390625" style="113" customWidth="1"/>
    <col min="18" max="18" width="14.125" style="16" customWidth="1"/>
    <col min="19" max="19" width="15.25390625" style="16" customWidth="1"/>
    <col min="20" max="20" width="14.125" style="16" customWidth="1"/>
    <col min="21" max="21" width="13.375" style="16" customWidth="1"/>
    <col min="22" max="22" width="14.375" style="16" customWidth="1"/>
    <col min="23" max="24" width="13.125" style="16" customWidth="1"/>
    <col min="25" max="25" width="14.125" style="16" customWidth="1"/>
    <col min="26" max="26" width="15.00390625" style="16" customWidth="1"/>
    <col min="27" max="27" width="14.25390625" style="16" customWidth="1"/>
    <col min="28" max="28" width="12.875" style="16" customWidth="1"/>
    <col min="29" max="29" width="15.375" style="11" customWidth="1"/>
    <col min="30" max="30" width="10.625" style="16" hidden="1" customWidth="1"/>
    <col min="31" max="31" width="9.625" style="16" hidden="1" customWidth="1"/>
    <col min="32" max="32" width="0" style="114" hidden="1" customWidth="1"/>
    <col min="33" max="33" width="10.00390625" style="16" hidden="1" customWidth="1"/>
    <col min="34" max="16384" width="9.125" style="16" customWidth="1"/>
  </cols>
  <sheetData>
    <row r="1" spans="1:28" s="2" customFormat="1" ht="15.75">
      <c r="A1" s="1"/>
      <c r="E1" s="3"/>
      <c r="F1" s="3"/>
      <c r="G1" s="4"/>
      <c r="N1" s="4"/>
      <c r="P1" s="5"/>
      <c r="Q1" s="6">
        <v>1</v>
      </c>
      <c r="R1" s="2">
        <v>5</v>
      </c>
      <c r="S1" s="2">
        <v>8</v>
      </c>
      <c r="U1" s="2">
        <v>2</v>
      </c>
      <c r="V1" s="2">
        <v>3</v>
      </c>
      <c r="W1" s="2">
        <v>4</v>
      </c>
      <c r="Y1" s="2">
        <v>7</v>
      </c>
      <c r="Z1" s="2">
        <v>9</v>
      </c>
      <c r="AA1" s="2">
        <v>10</v>
      </c>
      <c r="AB1" s="2">
        <v>11</v>
      </c>
    </row>
    <row r="2" spans="1:32" s="8" customFormat="1" ht="18.75">
      <c r="A2" s="7"/>
      <c r="E2" s="9"/>
      <c r="F2" s="9"/>
      <c r="G2" s="10" t="s">
        <v>0</v>
      </c>
      <c r="N2" s="11"/>
      <c r="P2" s="12"/>
      <c r="Q2" s="13"/>
      <c r="V2" s="2">
        <v>3</v>
      </c>
      <c r="W2" s="14">
        <v>4</v>
      </c>
      <c r="X2" s="14"/>
      <c r="Z2" s="156" t="s">
        <v>1</v>
      </c>
      <c r="AA2" s="156"/>
      <c r="AB2" s="156"/>
      <c r="AC2" s="156"/>
      <c r="AF2" s="15"/>
    </row>
    <row r="3" spans="1:32" s="8" customFormat="1" ht="60" customHeight="1">
      <c r="A3" s="7"/>
      <c r="E3" s="9"/>
      <c r="F3" s="9"/>
      <c r="G3" s="11"/>
      <c r="N3" s="11"/>
      <c r="P3" s="12"/>
      <c r="Q3" s="13"/>
      <c r="X3" s="2">
        <v>6</v>
      </c>
      <c r="Z3" s="157" t="s">
        <v>58</v>
      </c>
      <c r="AA3" s="157"/>
      <c r="AB3" s="157"/>
      <c r="AC3" s="157"/>
      <c r="AF3" s="15"/>
    </row>
    <row r="4" spans="1:32" ht="36" customHeight="1">
      <c r="A4" s="158"/>
      <c r="B4" s="161"/>
      <c r="C4" s="164" t="s">
        <v>2</v>
      </c>
      <c r="D4" s="167" t="s">
        <v>3</v>
      </c>
      <c r="E4" s="167"/>
      <c r="F4" s="167"/>
      <c r="G4" s="168" t="s">
        <v>4</v>
      </c>
      <c r="H4" s="171" t="s">
        <v>3</v>
      </c>
      <c r="I4" s="172"/>
      <c r="J4" s="172"/>
      <c r="K4" s="172"/>
      <c r="L4" s="172"/>
      <c r="M4" s="172"/>
      <c r="N4" s="173"/>
      <c r="O4" s="174" t="s">
        <v>5</v>
      </c>
      <c r="P4" s="177" t="s">
        <v>6</v>
      </c>
      <c r="Q4" s="137" t="s">
        <v>3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9"/>
      <c r="AC4" s="140" t="s">
        <v>7</v>
      </c>
      <c r="AF4" s="17"/>
    </row>
    <row r="5" spans="1:32" ht="36" customHeight="1">
      <c r="A5" s="159"/>
      <c r="B5" s="162"/>
      <c r="C5" s="165"/>
      <c r="D5" s="143" t="s">
        <v>8</v>
      </c>
      <c r="E5" s="145" t="s">
        <v>9</v>
      </c>
      <c r="F5" s="140" t="s">
        <v>10</v>
      </c>
      <c r="G5" s="169"/>
      <c r="H5" s="147" t="s">
        <v>11</v>
      </c>
      <c r="I5" s="149" t="s">
        <v>12</v>
      </c>
      <c r="J5" s="151" t="s">
        <v>13</v>
      </c>
      <c r="K5" s="153" t="s">
        <v>14</v>
      </c>
      <c r="L5" s="131" t="s">
        <v>15</v>
      </c>
      <c r="M5" s="131" t="s">
        <v>16</v>
      </c>
      <c r="N5" s="131" t="s">
        <v>17</v>
      </c>
      <c r="O5" s="175"/>
      <c r="P5" s="178"/>
      <c r="Q5" s="134" t="s">
        <v>18</v>
      </c>
      <c r="R5" s="125" t="s">
        <v>19</v>
      </c>
      <c r="S5" s="128" t="s">
        <v>20</v>
      </c>
      <c r="T5" s="130" t="s">
        <v>21</v>
      </c>
      <c r="U5" s="125" t="s">
        <v>22</v>
      </c>
      <c r="V5" s="125" t="s">
        <v>23</v>
      </c>
      <c r="W5" s="125" t="s">
        <v>24</v>
      </c>
      <c r="X5" s="125" t="s">
        <v>25</v>
      </c>
      <c r="Y5" s="125" t="s">
        <v>26</v>
      </c>
      <c r="Z5" s="125" t="s">
        <v>27</v>
      </c>
      <c r="AA5" s="125" t="s">
        <v>28</v>
      </c>
      <c r="AB5" s="125" t="s">
        <v>29</v>
      </c>
      <c r="AC5" s="141"/>
      <c r="AF5" s="17"/>
    </row>
    <row r="6" spans="1:32" ht="280.5" customHeight="1">
      <c r="A6" s="160"/>
      <c r="B6" s="163"/>
      <c r="C6" s="166"/>
      <c r="D6" s="144"/>
      <c r="E6" s="146"/>
      <c r="F6" s="142"/>
      <c r="G6" s="170"/>
      <c r="H6" s="148"/>
      <c r="I6" s="150"/>
      <c r="J6" s="152"/>
      <c r="K6" s="154"/>
      <c r="L6" s="155"/>
      <c r="M6" s="132"/>
      <c r="N6" s="133"/>
      <c r="O6" s="176"/>
      <c r="P6" s="179"/>
      <c r="Q6" s="135"/>
      <c r="R6" s="136"/>
      <c r="S6" s="129"/>
      <c r="T6" s="126"/>
      <c r="U6" s="126"/>
      <c r="V6" s="126"/>
      <c r="W6" s="126"/>
      <c r="X6" s="127"/>
      <c r="Y6" s="126"/>
      <c r="Z6" s="126"/>
      <c r="AA6" s="126"/>
      <c r="AB6" s="127"/>
      <c r="AC6" s="142"/>
      <c r="AD6" s="18" t="s">
        <v>30</v>
      </c>
      <c r="AE6" s="18"/>
      <c r="AF6" s="17"/>
    </row>
    <row r="7" spans="1:29" s="27" customFormat="1" ht="26.25" customHeight="1" hidden="1">
      <c r="A7" s="116" t="s">
        <v>31</v>
      </c>
      <c r="B7" s="19" t="s">
        <v>32</v>
      </c>
      <c r="C7" s="20">
        <f>D7+F7</f>
        <v>3111</v>
      </c>
      <c r="D7" s="21">
        <v>2659</v>
      </c>
      <c r="E7" s="22">
        <v>2070</v>
      </c>
      <c r="F7" s="22">
        <v>452</v>
      </c>
      <c r="G7" s="23">
        <f>SUM(H7:N7)</f>
        <v>400.9</v>
      </c>
      <c r="H7" s="23"/>
      <c r="I7" s="24">
        <v>346</v>
      </c>
      <c r="J7" s="24"/>
      <c r="K7" s="24"/>
      <c r="L7" s="24">
        <v>8.9</v>
      </c>
      <c r="M7" s="24">
        <v>2.3</v>
      </c>
      <c r="N7" s="24">
        <v>43.7</v>
      </c>
      <c r="O7" s="23">
        <f>C7+G7</f>
        <v>3511.9</v>
      </c>
      <c r="P7" s="25">
        <f>SUM(Q7:AB7)</f>
        <v>3511.8999999999996</v>
      </c>
      <c r="Q7" s="26">
        <f>1735.6-8.9</f>
        <v>1726.6999999999998</v>
      </c>
      <c r="R7" s="24">
        <v>850.9</v>
      </c>
      <c r="S7" s="24">
        <v>734</v>
      </c>
      <c r="T7" s="24">
        <v>8.9</v>
      </c>
      <c r="U7" s="24">
        <v>43.7</v>
      </c>
      <c r="V7" s="24"/>
      <c r="W7" s="24">
        <v>122.7</v>
      </c>
      <c r="X7" s="24"/>
      <c r="Y7" s="24"/>
      <c r="Z7" s="24"/>
      <c r="AA7" s="24">
        <v>25</v>
      </c>
      <c r="AB7" s="24"/>
      <c r="AC7" s="24">
        <f>O7-P7</f>
        <v>0</v>
      </c>
    </row>
    <row r="8" spans="1:32" ht="24" customHeight="1">
      <c r="A8" s="117"/>
      <c r="B8" s="28" t="s">
        <v>33</v>
      </c>
      <c r="C8" s="20">
        <f>D8+F8</f>
        <v>3111</v>
      </c>
      <c r="D8" s="21">
        <v>2608</v>
      </c>
      <c r="E8" s="22">
        <v>2068</v>
      </c>
      <c r="F8" s="22">
        <v>503</v>
      </c>
      <c r="G8" s="23">
        <f>SUM(H8:N8)</f>
        <v>54.900000000000006</v>
      </c>
      <c r="H8" s="23"/>
      <c r="I8" s="24">
        <v>0</v>
      </c>
      <c r="J8" s="24">
        <v>0</v>
      </c>
      <c r="K8" s="24"/>
      <c r="L8" s="24">
        <v>8.9</v>
      </c>
      <c r="M8" s="24">
        <v>2.3</v>
      </c>
      <c r="N8" s="24">
        <v>43.7</v>
      </c>
      <c r="O8" s="29">
        <f>C8+G8</f>
        <v>3165.9</v>
      </c>
      <c r="P8" s="30">
        <f>SUM(Q8:AB8)</f>
        <v>3533.6000000000004</v>
      </c>
      <c r="Q8" s="31">
        <v>1433.2</v>
      </c>
      <c r="R8" s="32">
        <v>879.1</v>
      </c>
      <c r="S8" s="32">
        <f>834</f>
        <v>834</v>
      </c>
      <c r="T8" s="32">
        <v>8.9</v>
      </c>
      <c r="U8" s="32">
        <v>43.7</v>
      </c>
      <c r="V8" s="32"/>
      <c r="W8" s="32">
        <v>288</v>
      </c>
      <c r="X8" s="32"/>
      <c r="Y8" s="32"/>
      <c r="Z8" s="32"/>
      <c r="AA8" s="32">
        <v>22.8</v>
      </c>
      <c r="AB8" s="32">
        <v>23.9</v>
      </c>
      <c r="AC8" s="32">
        <f>O8-P8</f>
        <v>-367.7000000000003</v>
      </c>
      <c r="AF8" s="17"/>
    </row>
    <row r="9" spans="1:32" ht="24" customHeight="1">
      <c r="A9" s="117"/>
      <c r="B9" s="33" t="s">
        <v>34</v>
      </c>
      <c r="C9" s="34">
        <f>D9+F9</f>
        <v>1265.8</v>
      </c>
      <c r="D9" s="35">
        <v>1003.5</v>
      </c>
      <c r="E9" s="36">
        <v>720.7</v>
      </c>
      <c r="F9" s="36">
        <v>262.3</v>
      </c>
      <c r="G9" s="29">
        <f>SUM(H9:N9)</f>
        <v>313.09999999999997</v>
      </c>
      <c r="H9" s="37"/>
      <c r="I9" s="37">
        <v>260</v>
      </c>
      <c r="J9" s="37"/>
      <c r="K9" s="37"/>
      <c r="L9" s="37">
        <v>8.2</v>
      </c>
      <c r="M9" s="37">
        <v>1.2</v>
      </c>
      <c r="N9" s="37">
        <v>43.7</v>
      </c>
      <c r="O9" s="29">
        <f>C9+G9</f>
        <v>1578.8999999999999</v>
      </c>
      <c r="P9" s="30">
        <f>SUM(Q9:AB9)</f>
        <v>1746.4</v>
      </c>
      <c r="Q9" s="38">
        <v>731.5</v>
      </c>
      <c r="R9" s="35">
        <v>217.6</v>
      </c>
      <c r="S9" s="35">
        <v>523.4</v>
      </c>
      <c r="T9" s="32">
        <v>8.2</v>
      </c>
      <c r="U9" s="32">
        <v>19.5</v>
      </c>
      <c r="V9" s="35"/>
      <c r="W9" s="35">
        <v>234.7</v>
      </c>
      <c r="X9" s="35"/>
      <c r="Y9" s="35"/>
      <c r="Z9" s="35"/>
      <c r="AA9" s="35">
        <v>9.3</v>
      </c>
      <c r="AB9" s="35">
        <v>2.2</v>
      </c>
      <c r="AC9" s="32">
        <f>O9-P9</f>
        <v>-167.50000000000023</v>
      </c>
      <c r="AD9" s="16">
        <f>Q9-C9</f>
        <v>-534.3</v>
      </c>
      <c r="AF9" s="17"/>
    </row>
    <row r="10" spans="1:32" ht="15" customHeight="1">
      <c r="A10" s="118"/>
      <c r="B10" s="39" t="s">
        <v>35</v>
      </c>
      <c r="C10" s="40">
        <f>C9/C8%</f>
        <v>40.68788171006107</v>
      </c>
      <c r="D10" s="36">
        <f aca="true" t="shared" si="0" ref="D10:AA10">D9/D8%</f>
        <v>38.47776073619632</v>
      </c>
      <c r="E10" s="36">
        <f t="shared" si="0"/>
        <v>34.85009671179884</v>
      </c>
      <c r="F10" s="36">
        <f t="shared" si="0"/>
        <v>52.14711729622266</v>
      </c>
      <c r="G10" s="36">
        <f t="shared" si="0"/>
        <v>570.3096539162112</v>
      </c>
      <c r="H10" s="36"/>
      <c r="I10" s="36"/>
      <c r="J10" s="36"/>
      <c r="K10" s="36"/>
      <c r="L10" s="36">
        <f t="shared" si="0"/>
        <v>92.13483146067414</v>
      </c>
      <c r="M10" s="36"/>
      <c r="N10" s="36">
        <f t="shared" si="0"/>
        <v>100</v>
      </c>
      <c r="O10" s="36">
        <f t="shared" si="0"/>
        <v>49.87207429167061</v>
      </c>
      <c r="P10" s="41">
        <f t="shared" si="0"/>
        <v>49.42268508037129</v>
      </c>
      <c r="Q10" s="42">
        <f t="shared" si="0"/>
        <v>51.039631593636614</v>
      </c>
      <c r="R10" s="36">
        <f t="shared" si="0"/>
        <v>24.752587873962003</v>
      </c>
      <c r="S10" s="36">
        <f t="shared" si="0"/>
        <v>62.75779376498801</v>
      </c>
      <c r="T10" s="36">
        <f t="shared" si="0"/>
        <v>92.13483146067414</v>
      </c>
      <c r="U10" s="36">
        <f t="shared" si="0"/>
        <v>44.62242562929061</v>
      </c>
      <c r="V10" s="36"/>
      <c r="W10" s="36">
        <f t="shared" si="0"/>
        <v>81.49305555555556</v>
      </c>
      <c r="X10" s="36"/>
      <c r="Y10" s="36"/>
      <c r="Z10" s="36"/>
      <c r="AA10" s="36">
        <f t="shared" si="0"/>
        <v>40.78947368421053</v>
      </c>
      <c r="AB10" s="36"/>
      <c r="AC10" s="43">
        <f>AC9/C9*100</f>
        <v>-13.232738189287426</v>
      </c>
      <c r="AD10" s="36" t="e">
        <f>AD9/AD8*100</f>
        <v>#DIV/0!</v>
      </c>
      <c r="AE10" s="36" t="e">
        <f>AE9/AE8*100</f>
        <v>#DIV/0!</v>
      </c>
      <c r="AF10" s="36" t="e">
        <f>AF9/AF8*100</f>
        <v>#DIV/0!</v>
      </c>
    </row>
    <row r="11" spans="1:29" s="27" customFormat="1" ht="24" customHeight="1" hidden="1">
      <c r="A11" s="116" t="s">
        <v>36</v>
      </c>
      <c r="B11" s="19" t="s">
        <v>32</v>
      </c>
      <c r="C11" s="20">
        <f>D11+F11</f>
        <v>10109</v>
      </c>
      <c r="D11" s="21">
        <v>9679</v>
      </c>
      <c r="E11" s="22">
        <v>270</v>
      </c>
      <c r="F11" s="22">
        <v>430</v>
      </c>
      <c r="G11" s="23">
        <f>SUM(H11:N11)</f>
        <v>863.8000000000001</v>
      </c>
      <c r="H11" s="23"/>
      <c r="I11" s="24">
        <v>310</v>
      </c>
      <c r="J11" s="24"/>
      <c r="K11" s="24">
        <v>500</v>
      </c>
      <c r="L11" s="24">
        <v>8</v>
      </c>
      <c r="M11" s="24">
        <v>2.1</v>
      </c>
      <c r="N11" s="24">
        <v>43.7</v>
      </c>
      <c r="O11" s="23">
        <f>C11+G11</f>
        <v>10972.8</v>
      </c>
      <c r="P11" s="44">
        <f>SUM(Q11:AB11)</f>
        <v>10972.8</v>
      </c>
      <c r="Q11" s="45">
        <f>5457.8-8</f>
        <v>5449.8</v>
      </c>
      <c r="R11" s="24">
        <v>89</v>
      </c>
      <c r="S11" s="24">
        <v>4994</v>
      </c>
      <c r="T11" s="24">
        <v>8</v>
      </c>
      <c r="U11" s="24">
        <v>43.7</v>
      </c>
      <c r="V11" s="24"/>
      <c r="W11" s="24">
        <v>388.3</v>
      </c>
      <c r="X11" s="24"/>
      <c r="Y11" s="24"/>
      <c r="Z11" s="24"/>
      <c r="AA11" s="24"/>
      <c r="AB11" s="24"/>
      <c r="AC11" s="24">
        <f>O11-P11</f>
        <v>0</v>
      </c>
    </row>
    <row r="12" spans="1:32" ht="24" customHeight="1">
      <c r="A12" s="117"/>
      <c r="B12" s="28" t="s">
        <v>33</v>
      </c>
      <c r="C12" s="20">
        <f>D12+F12</f>
        <v>10110.300000000001</v>
      </c>
      <c r="D12" s="21">
        <v>9717.2</v>
      </c>
      <c r="E12" s="22">
        <v>270</v>
      </c>
      <c r="F12" s="22">
        <v>393.1</v>
      </c>
      <c r="G12" s="23">
        <f>SUM(H12:N12)</f>
        <v>1057.4</v>
      </c>
      <c r="H12" s="23"/>
      <c r="I12" s="24">
        <v>310</v>
      </c>
      <c r="J12" s="24">
        <v>193.6</v>
      </c>
      <c r="K12" s="24">
        <v>500</v>
      </c>
      <c r="L12" s="24">
        <v>8</v>
      </c>
      <c r="M12" s="24">
        <v>2.1</v>
      </c>
      <c r="N12" s="24">
        <v>43.7</v>
      </c>
      <c r="O12" s="23">
        <f>C12+G12</f>
        <v>11167.7</v>
      </c>
      <c r="P12" s="30">
        <f>SUM(Q12:AB12)</f>
        <v>11167.8</v>
      </c>
      <c r="Q12" s="31">
        <v>4530.4</v>
      </c>
      <c r="R12" s="32">
        <v>816.9</v>
      </c>
      <c r="S12" s="32">
        <v>4904</v>
      </c>
      <c r="T12" s="32">
        <v>8</v>
      </c>
      <c r="U12" s="32">
        <v>43.7</v>
      </c>
      <c r="V12" s="32"/>
      <c r="W12" s="32">
        <v>750</v>
      </c>
      <c r="X12" s="32"/>
      <c r="Y12" s="32"/>
      <c r="Z12" s="32"/>
      <c r="AA12" s="32"/>
      <c r="AB12" s="32">
        <v>114.8</v>
      </c>
      <c r="AC12" s="32">
        <f>O12-P12</f>
        <v>-0.09999999999854481</v>
      </c>
      <c r="AF12" s="17"/>
    </row>
    <row r="13" spans="1:32" ht="24" customHeight="1">
      <c r="A13" s="117"/>
      <c r="B13" s="33" t="s">
        <v>34</v>
      </c>
      <c r="C13" s="34">
        <f>D13+F13</f>
        <v>7840.5</v>
      </c>
      <c r="D13" s="35">
        <v>7567</v>
      </c>
      <c r="E13" s="36">
        <v>225.1</v>
      </c>
      <c r="F13" s="36">
        <v>273.5</v>
      </c>
      <c r="G13" s="29">
        <f>SUM(H13:N13)</f>
        <v>711.35</v>
      </c>
      <c r="H13" s="37"/>
      <c r="I13" s="37">
        <v>233</v>
      </c>
      <c r="J13" s="37">
        <v>180.2</v>
      </c>
      <c r="K13" s="37">
        <v>250</v>
      </c>
      <c r="L13" s="37">
        <v>3.4</v>
      </c>
      <c r="M13" s="37">
        <v>1.05</v>
      </c>
      <c r="N13" s="37">
        <v>43.7</v>
      </c>
      <c r="O13" s="29">
        <f>C13+G13</f>
        <v>8551.85</v>
      </c>
      <c r="P13" s="30">
        <f>SUM(Q13:AB13)</f>
        <v>8187.1</v>
      </c>
      <c r="Q13" s="38">
        <v>3621.2</v>
      </c>
      <c r="R13" s="35">
        <v>632.3</v>
      </c>
      <c r="S13" s="35">
        <v>3204.7</v>
      </c>
      <c r="T13" s="32"/>
      <c r="U13" s="32">
        <v>34.3</v>
      </c>
      <c r="V13" s="35"/>
      <c r="W13" s="35">
        <v>643.3</v>
      </c>
      <c r="X13" s="35"/>
      <c r="Y13" s="46"/>
      <c r="Z13" s="46"/>
      <c r="AA13" s="35"/>
      <c r="AB13" s="35">
        <v>51.3</v>
      </c>
      <c r="AC13" s="32">
        <f>O13-P13</f>
        <v>364.75</v>
      </c>
      <c r="AD13" s="16">
        <f>Q13-C13</f>
        <v>-4219.3</v>
      </c>
      <c r="AF13" s="17"/>
    </row>
    <row r="14" spans="1:32" ht="15" customHeight="1">
      <c r="A14" s="118"/>
      <c r="B14" s="39" t="s">
        <v>35</v>
      </c>
      <c r="C14" s="40">
        <f>C13/C12%</f>
        <v>77.54962760748938</v>
      </c>
      <c r="D14" s="36">
        <f aca="true" t="shared" si="1" ref="D14:AB14">D13/D12%</f>
        <v>77.8722265673239</v>
      </c>
      <c r="E14" s="36">
        <f t="shared" si="1"/>
        <v>83.37037037037037</v>
      </c>
      <c r="F14" s="36">
        <f t="shared" si="1"/>
        <v>69.57517171203256</v>
      </c>
      <c r="G14" s="36">
        <f t="shared" si="1"/>
        <v>67.27350104028748</v>
      </c>
      <c r="H14" s="36"/>
      <c r="I14" s="36">
        <f t="shared" si="1"/>
        <v>75.16129032258064</v>
      </c>
      <c r="J14" s="36">
        <f t="shared" si="1"/>
        <v>93.07851239669421</v>
      </c>
      <c r="K14" s="36">
        <f t="shared" si="1"/>
        <v>50</v>
      </c>
      <c r="L14" s="36">
        <f t="shared" si="1"/>
        <v>42.5</v>
      </c>
      <c r="M14" s="36"/>
      <c r="N14" s="36">
        <f t="shared" si="1"/>
        <v>100</v>
      </c>
      <c r="O14" s="36">
        <f t="shared" si="1"/>
        <v>76.57664514627004</v>
      </c>
      <c r="P14" s="41">
        <f t="shared" si="1"/>
        <v>73.3098730278121</v>
      </c>
      <c r="Q14" s="42">
        <f t="shared" si="1"/>
        <v>79.93113190888222</v>
      </c>
      <c r="R14" s="36">
        <f t="shared" si="1"/>
        <v>77.40237483168073</v>
      </c>
      <c r="S14" s="36">
        <f t="shared" si="1"/>
        <v>65.34869494290375</v>
      </c>
      <c r="T14" s="36">
        <f t="shared" si="1"/>
        <v>0</v>
      </c>
      <c r="U14" s="36">
        <f t="shared" si="1"/>
        <v>78.48970251716246</v>
      </c>
      <c r="V14" s="36"/>
      <c r="W14" s="36">
        <f t="shared" si="1"/>
        <v>85.77333333333333</v>
      </c>
      <c r="X14" s="36"/>
      <c r="Y14" s="36"/>
      <c r="Z14" s="36"/>
      <c r="AA14" s="36"/>
      <c r="AB14" s="36">
        <f t="shared" si="1"/>
        <v>44.68641114982579</v>
      </c>
      <c r="AC14" s="43">
        <f>AC13/C13*100</f>
        <v>4.652126777628978</v>
      </c>
      <c r="AD14" s="36" t="e">
        <f>AD13/AD12*100</f>
        <v>#DIV/0!</v>
      </c>
      <c r="AE14" s="36" t="e">
        <f>AE13/AE12*100</f>
        <v>#DIV/0!</v>
      </c>
      <c r="AF14" s="36" t="e">
        <f>AF13/AF12*100</f>
        <v>#DIV/0!</v>
      </c>
    </row>
    <row r="15" spans="1:29" s="27" customFormat="1" ht="24" customHeight="1" hidden="1">
      <c r="A15" s="116" t="s">
        <v>37</v>
      </c>
      <c r="B15" s="19" t="s">
        <v>32</v>
      </c>
      <c r="C15" s="20">
        <f>D15+F15</f>
        <v>986</v>
      </c>
      <c r="D15" s="21">
        <v>871</v>
      </c>
      <c r="E15" s="21">
        <v>530</v>
      </c>
      <c r="F15" s="22">
        <v>115</v>
      </c>
      <c r="G15" s="23">
        <f>SUM(H15:N15)</f>
        <v>300.8</v>
      </c>
      <c r="H15" s="23"/>
      <c r="I15" s="24">
        <v>249</v>
      </c>
      <c r="J15" s="24"/>
      <c r="K15" s="24"/>
      <c r="L15" s="24">
        <v>6.4</v>
      </c>
      <c r="M15" s="24">
        <v>1.7</v>
      </c>
      <c r="N15" s="24">
        <v>43.7</v>
      </c>
      <c r="O15" s="23">
        <f>C15+G15</f>
        <v>1286.8</v>
      </c>
      <c r="P15" s="44">
        <f>SUM(Q15:AB15)</f>
        <v>1286.8</v>
      </c>
      <c r="Q15" s="45">
        <f>1179.1-6.4</f>
        <v>1172.6999999999998</v>
      </c>
      <c r="R15" s="24">
        <v>45</v>
      </c>
      <c r="S15" s="24"/>
      <c r="T15" s="24">
        <v>6.4</v>
      </c>
      <c r="U15" s="24">
        <v>43.7</v>
      </c>
      <c r="V15" s="24"/>
      <c r="W15" s="24"/>
      <c r="X15" s="24"/>
      <c r="Y15" s="24"/>
      <c r="Z15" s="24"/>
      <c r="AA15" s="24">
        <v>19</v>
      </c>
      <c r="AB15" s="24"/>
      <c r="AC15" s="24">
        <f>O15-P15</f>
        <v>0</v>
      </c>
    </row>
    <row r="16" spans="1:32" ht="24" customHeight="1">
      <c r="A16" s="117"/>
      <c r="B16" s="28" t="s">
        <v>33</v>
      </c>
      <c r="C16" s="20">
        <f>D16+F16</f>
        <v>986</v>
      </c>
      <c r="D16" s="21">
        <v>887.3</v>
      </c>
      <c r="E16" s="21">
        <v>518.1</v>
      </c>
      <c r="F16" s="22">
        <v>98.7</v>
      </c>
      <c r="G16" s="23">
        <f>SUM(H16:N16)</f>
        <v>419.79999999999995</v>
      </c>
      <c r="H16" s="23"/>
      <c r="I16" s="24">
        <v>249</v>
      </c>
      <c r="J16" s="24">
        <v>119</v>
      </c>
      <c r="K16" s="24"/>
      <c r="L16" s="24">
        <v>6.4</v>
      </c>
      <c r="M16" s="24">
        <v>1.7</v>
      </c>
      <c r="N16" s="24">
        <v>43.7</v>
      </c>
      <c r="O16" s="23">
        <f>C16+G16</f>
        <v>1405.8</v>
      </c>
      <c r="P16" s="30">
        <f>SUM(Q16:AB16)</f>
        <v>1459.7000000000003</v>
      </c>
      <c r="Q16" s="45">
        <v>1049.4</v>
      </c>
      <c r="R16" s="24">
        <v>134.2</v>
      </c>
      <c r="S16" s="24">
        <v>53.3</v>
      </c>
      <c r="T16" s="24">
        <v>6.4</v>
      </c>
      <c r="U16" s="24">
        <v>43.7</v>
      </c>
      <c r="V16" s="24">
        <v>34.7</v>
      </c>
      <c r="W16" s="24">
        <v>119</v>
      </c>
      <c r="X16" s="24"/>
      <c r="Y16" s="24"/>
      <c r="Z16" s="24"/>
      <c r="AA16" s="24">
        <v>19</v>
      </c>
      <c r="AB16" s="24"/>
      <c r="AC16" s="32">
        <f>O16-P16</f>
        <v>-53.90000000000032</v>
      </c>
      <c r="AF16" s="17"/>
    </row>
    <row r="17" spans="1:32" ht="24" customHeight="1">
      <c r="A17" s="117"/>
      <c r="B17" s="33" t="s">
        <v>34</v>
      </c>
      <c r="C17" s="34">
        <f>D17+F17</f>
        <v>592.1</v>
      </c>
      <c r="D17" s="35">
        <v>553.1</v>
      </c>
      <c r="E17" s="35">
        <v>260.2</v>
      </c>
      <c r="F17" s="36">
        <v>39</v>
      </c>
      <c r="G17" s="29">
        <f>SUM(H17:N17)</f>
        <v>236</v>
      </c>
      <c r="H17" s="37"/>
      <c r="I17" s="37">
        <v>189</v>
      </c>
      <c r="J17" s="37"/>
      <c r="K17" s="37"/>
      <c r="L17" s="37">
        <v>2.4</v>
      </c>
      <c r="M17" s="37">
        <v>0.9</v>
      </c>
      <c r="N17" s="37">
        <v>43.7</v>
      </c>
      <c r="O17" s="29">
        <f>C17+G17</f>
        <v>828.1</v>
      </c>
      <c r="P17" s="30">
        <f>SUM(Q17:AB17)</f>
        <v>798.40392</v>
      </c>
      <c r="Q17" s="38">
        <v>609.8</v>
      </c>
      <c r="R17" s="35">
        <v>75.7</v>
      </c>
      <c r="S17" s="35">
        <v>46.80392</v>
      </c>
      <c r="T17" s="24">
        <v>2.4</v>
      </c>
      <c r="U17" s="24">
        <v>19.3</v>
      </c>
      <c r="V17" s="35">
        <v>34.7</v>
      </c>
      <c r="W17" s="35"/>
      <c r="X17" s="35"/>
      <c r="Y17" s="35"/>
      <c r="Z17" s="35"/>
      <c r="AA17" s="35">
        <v>9.7</v>
      </c>
      <c r="AB17" s="35"/>
      <c r="AC17" s="32">
        <f>O17-P17</f>
        <v>29.69608000000005</v>
      </c>
      <c r="AD17" s="16">
        <f>Q17-C17</f>
        <v>17.699999999999932</v>
      </c>
      <c r="AF17" s="17"/>
    </row>
    <row r="18" spans="1:32" ht="15" customHeight="1">
      <c r="A18" s="118"/>
      <c r="B18" s="39" t="s">
        <v>35</v>
      </c>
      <c r="C18" s="40">
        <f>C17/C16%</f>
        <v>60.05070993914808</v>
      </c>
      <c r="D18" s="36">
        <f aca="true" t="shared" si="2" ref="D18:AA18">D17/D16%</f>
        <v>62.33517412374621</v>
      </c>
      <c r="E18" s="36">
        <f t="shared" si="2"/>
        <v>50.2219648716464</v>
      </c>
      <c r="F18" s="36">
        <f t="shared" si="2"/>
        <v>39.51367781155015</v>
      </c>
      <c r="G18" s="36">
        <f t="shared" si="2"/>
        <v>56.217246307765606</v>
      </c>
      <c r="H18" s="36"/>
      <c r="I18" s="36">
        <f t="shared" si="2"/>
        <v>75.90361445783132</v>
      </c>
      <c r="J18" s="36"/>
      <c r="K18" s="36"/>
      <c r="L18" s="36">
        <f t="shared" si="2"/>
        <v>37.5</v>
      </c>
      <c r="M18" s="36"/>
      <c r="N18" s="36">
        <f t="shared" si="2"/>
        <v>100</v>
      </c>
      <c r="O18" s="36">
        <f t="shared" si="2"/>
        <v>58.90596101863708</v>
      </c>
      <c r="P18" s="41">
        <f t="shared" si="2"/>
        <v>54.69643899431389</v>
      </c>
      <c r="Q18" s="42">
        <f t="shared" si="2"/>
        <v>58.10939584524489</v>
      </c>
      <c r="R18" s="36">
        <f t="shared" si="2"/>
        <v>56.40834575260806</v>
      </c>
      <c r="S18" s="36">
        <f t="shared" si="2"/>
        <v>87.81223264540338</v>
      </c>
      <c r="T18" s="36">
        <f t="shared" si="2"/>
        <v>37.5</v>
      </c>
      <c r="U18" s="36">
        <f t="shared" si="2"/>
        <v>44.16475972540045</v>
      </c>
      <c r="V18" s="36"/>
      <c r="W18" s="36">
        <f t="shared" si="2"/>
        <v>0</v>
      </c>
      <c r="X18" s="36"/>
      <c r="Y18" s="36"/>
      <c r="Z18" s="36"/>
      <c r="AA18" s="36">
        <f t="shared" si="2"/>
        <v>51.05263157894736</v>
      </c>
      <c r="AB18" s="36"/>
      <c r="AC18" s="43">
        <f>AC17/C17*100</f>
        <v>5.015382536733668</v>
      </c>
      <c r="AD18" s="36" t="e">
        <f>AD17/AD16*100</f>
        <v>#DIV/0!</v>
      </c>
      <c r="AE18" s="36" t="e">
        <f>AE17/AE16*100</f>
        <v>#DIV/0!</v>
      </c>
      <c r="AF18" s="36" t="e">
        <f>AF17/AF16*100</f>
        <v>#DIV/0!</v>
      </c>
    </row>
    <row r="19" spans="1:29" s="27" customFormat="1" ht="24" customHeight="1" hidden="1">
      <c r="A19" s="116" t="s">
        <v>38</v>
      </c>
      <c r="B19" s="19" t="s">
        <v>32</v>
      </c>
      <c r="C19" s="20">
        <f>D19+F19</f>
        <v>292</v>
      </c>
      <c r="D19" s="21">
        <v>118</v>
      </c>
      <c r="E19" s="22">
        <v>80</v>
      </c>
      <c r="F19" s="22">
        <v>174</v>
      </c>
      <c r="G19" s="23">
        <f>SUM(H19:N19)</f>
        <v>148</v>
      </c>
      <c r="H19" s="23"/>
      <c r="I19" s="24">
        <v>101</v>
      </c>
      <c r="J19" s="24"/>
      <c r="K19" s="24"/>
      <c r="L19" s="24">
        <v>2.6</v>
      </c>
      <c r="M19" s="24">
        <v>0.7</v>
      </c>
      <c r="N19" s="24">
        <v>43.7</v>
      </c>
      <c r="O19" s="23">
        <f>C19+G19</f>
        <v>440</v>
      </c>
      <c r="P19" s="44">
        <f>SUM(Q19:AB19)</f>
        <v>469.2</v>
      </c>
      <c r="Q19" s="45">
        <f>420.5-2.6</f>
        <v>417.9</v>
      </c>
      <c r="R19" s="24"/>
      <c r="S19" s="24"/>
      <c r="T19" s="24">
        <v>2.6</v>
      </c>
      <c r="U19" s="24">
        <v>43.7</v>
      </c>
      <c r="V19" s="24"/>
      <c r="W19" s="24"/>
      <c r="X19" s="24"/>
      <c r="Y19" s="24"/>
      <c r="Z19" s="24"/>
      <c r="AA19" s="24">
        <v>5</v>
      </c>
      <c r="AB19" s="24"/>
      <c r="AC19" s="24">
        <f>O19-P19</f>
        <v>-29.19999999999999</v>
      </c>
    </row>
    <row r="20" spans="1:32" ht="24" customHeight="1">
      <c r="A20" s="117"/>
      <c r="B20" s="28" t="s">
        <v>33</v>
      </c>
      <c r="C20" s="20">
        <f>D20+F20</f>
        <v>292</v>
      </c>
      <c r="D20" s="21">
        <v>144.1</v>
      </c>
      <c r="E20" s="22">
        <v>70</v>
      </c>
      <c r="F20" s="22">
        <v>147.9</v>
      </c>
      <c r="G20" s="23">
        <f>SUM(H20:N20)</f>
        <v>148</v>
      </c>
      <c r="H20" s="23"/>
      <c r="I20" s="24">
        <v>101</v>
      </c>
      <c r="J20" s="24"/>
      <c r="K20" s="24"/>
      <c r="L20" s="24">
        <v>2.6</v>
      </c>
      <c r="M20" s="24">
        <v>0.7</v>
      </c>
      <c r="N20" s="24">
        <v>43.7</v>
      </c>
      <c r="O20" s="23">
        <f>C20+G20</f>
        <v>440</v>
      </c>
      <c r="P20" s="30">
        <f>SUM(Q20:AB20)</f>
        <v>473.3</v>
      </c>
      <c r="Q20" s="45">
        <v>418.4</v>
      </c>
      <c r="R20" s="24">
        <v>3.6</v>
      </c>
      <c r="S20" s="24"/>
      <c r="T20" s="24">
        <v>2.6</v>
      </c>
      <c r="U20" s="24">
        <v>43.7</v>
      </c>
      <c r="V20" s="24"/>
      <c r="W20" s="24"/>
      <c r="X20" s="24"/>
      <c r="Y20" s="24"/>
      <c r="Z20" s="24"/>
      <c r="AA20" s="24">
        <v>5</v>
      </c>
      <c r="AB20" s="24"/>
      <c r="AC20" s="32">
        <f>O20-P20</f>
        <v>-33.30000000000001</v>
      </c>
      <c r="AF20" s="17"/>
    </row>
    <row r="21" spans="1:32" ht="24" customHeight="1">
      <c r="A21" s="117"/>
      <c r="B21" s="33" t="s">
        <v>34</v>
      </c>
      <c r="C21" s="34">
        <f>D21+F21</f>
        <v>141</v>
      </c>
      <c r="D21" s="35">
        <v>95.2</v>
      </c>
      <c r="E21" s="36">
        <v>41.6</v>
      </c>
      <c r="F21" s="36">
        <v>45.8</v>
      </c>
      <c r="G21" s="29">
        <f>SUM(H21:N21)</f>
        <v>121.50000000000001</v>
      </c>
      <c r="H21" s="37"/>
      <c r="I21" s="37">
        <v>75.9</v>
      </c>
      <c r="J21" s="37"/>
      <c r="K21" s="37"/>
      <c r="L21" s="37">
        <v>1.5</v>
      </c>
      <c r="M21" s="37">
        <v>0.4</v>
      </c>
      <c r="N21" s="37">
        <v>43.7</v>
      </c>
      <c r="O21" s="29">
        <f>C21+G21</f>
        <v>262.5</v>
      </c>
      <c r="P21" s="30">
        <f>SUM(Q21:AB21)</f>
        <v>351.4000000000001</v>
      </c>
      <c r="Q21" s="38">
        <v>323.1</v>
      </c>
      <c r="R21" s="35">
        <v>3.6</v>
      </c>
      <c r="S21" s="35"/>
      <c r="T21" s="24">
        <v>1.6</v>
      </c>
      <c r="U21" s="24">
        <v>21.1</v>
      </c>
      <c r="V21" s="35"/>
      <c r="W21" s="35"/>
      <c r="X21" s="35"/>
      <c r="Y21" s="35"/>
      <c r="Z21" s="35"/>
      <c r="AA21" s="35">
        <v>2</v>
      </c>
      <c r="AB21" s="35"/>
      <c r="AC21" s="32">
        <f>O21-P21</f>
        <v>-88.90000000000009</v>
      </c>
      <c r="AD21" s="16">
        <f>Q21-C21</f>
        <v>182.10000000000002</v>
      </c>
      <c r="AF21" s="17"/>
    </row>
    <row r="22" spans="1:32" ht="18.75" customHeight="1">
      <c r="A22" s="118"/>
      <c r="B22" s="39" t="s">
        <v>35</v>
      </c>
      <c r="C22" s="40">
        <f>C21/C20%</f>
        <v>48.28767123287671</v>
      </c>
      <c r="D22" s="36">
        <f aca="true" t="shared" si="3" ref="D22:O22">D21/D20%</f>
        <v>66.06523247744623</v>
      </c>
      <c r="E22" s="36">
        <f t="shared" si="3"/>
        <v>59.42857142857144</v>
      </c>
      <c r="F22" s="36">
        <f t="shared" si="3"/>
        <v>30.966869506423254</v>
      </c>
      <c r="G22" s="36">
        <f t="shared" si="3"/>
        <v>82.09459459459461</v>
      </c>
      <c r="H22" s="36"/>
      <c r="I22" s="36">
        <f t="shared" si="3"/>
        <v>75.14851485148516</v>
      </c>
      <c r="J22" s="36"/>
      <c r="K22" s="36"/>
      <c r="L22" s="36">
        <f t="shared" si="3"/>
        <v>57.692307692307686</v>
      </c>
      <c r="M22" s="36"/>
      <c r="N22" s="36">
        <f t="shared" si="3"/>
        <v>100</v>
      </c>
      <c r="O22" s="36">
        <f t="shared" si="3"/>
        <v>59.65909090909091</v>
      </c>
      <c r="P22" s="41">
        <f>P21/P20%</f>
        <v>74.24466511726179</v>
      </c>
      <c r="Q22" s="42">
        <f>Q21/Q20%</f>
        <v>77.22275334608031</v>
      </c>
      <c r="R22" s="36"/>
      <c r="S22" s="36"/>
      <c r="T22" s="36">
        <f>T21/T20%</f>
        <v>61.53846153846153</v>
      </c>
      <c r="U22" s="36">
        <f>U21/U20%</f>
        <v>48.283752860411894</v>
      </c>
      <c r="V22" s="36"/>
      <c r="W22" s="36"/>
      <c r="X22" s="36"/>
      <c r="Y22" s="36"/>
      <c r="Z22" s="36"/>
      <c r="AA22" s="36">
        <f>AA21/AA20%</f>
        <v>40</v>
      </c>
      <c r="AB22" s="36"/>
      <c r="AC22" s="43">
        <f>AC21/C21*100</f>
        <v>-63.049645390070985</v>
      </c>
      <c r="AD22" s="36" t="e">
        <f>AD21/AD20*100</f>
        <v>#DIV/0!</v>
      </c>
      <c r="AE22" s="36" t="e">
        <f>AE21/AE20*100</f>
        <v>#DIV/0!</v>
      </c>
      <c r="AF22" s="36" t="e">
        <f>AF21/AF20*100</f>
        <v>#DIV/0!</v>
      </c>
    </row>
    <row r="23" spans="1:29" s="27" customFormat="1" ht="24" customHeight="1" hidden="1">
      <c r="A23" s="116" t="s">
        <v>39</v>
      </c>
      <c r="B23" s="19" t="s">
        <v>32</v>
      </c>
      <c r="C23" s="20">
        <f>D23+F23</f>
        <v>193</v>
      </c>
      <c r="D23" s="21">
        <v>75</v>
      </c>
      <c r="E23" s="22">
        <v>60</v>
      </c>
      <c r="F23" s="22">
        <v>118</v>
      </c>
      <c r="G23" s="23">
        <f>SUM(H23:N23)</f>
        <v>89</v>
      </c>
      <c r="H23" s="23"/>
      <c r="I23" s="24">
        <v>44</v>
      </c>
      <c r="J23" s="24"/>
      <c r="K23" s="24"/>
      <c r="L23" s="24">
        <v>1.1</v>
      </c>
      <c r="M23" s="24">
        <v>0.3</v>
      </c>
      <c r="N23" s="24">
        <v>43.6</v>
      </c>
      <c r="O23" s="23">
        <f>C23+G23</f>
        <v>282</v>
      </c>
      <c r="P23" s="44">
        <f>SUM(Q23:AB23)</f>
        <v>301.3</v>
      </c>
      <c r="Q23" s="45">
        <f>257.2-1.1</f>
        <v>256.09999999999997</v>
      </c>
      <c r="R23" s="24">
        <v>0.5</v>
      </c>
      <c r="S23" s="24"/>
      <c r="T23" s="24">
        <v>1.1</v>
      </c>
      <c r="U23" s="24">
        <v>43.6</v>
      </c>
      <c r="V23" s="24"/>
      <c r="W23" s="24"/>
      <c r="X23" s="24"/>
      <c r="Y23" s="24"/>
      <c r="Z23" s="24"/>
      <c r="AA23" s="24"/>
      <c r="AB23" s="24"/>
      <c r="AC23" s="43">
        <v>17.851578502850348</v>
      </c>
    </row>
    <row r="24" spans="1:32" ht="24" customHeight="1">
      <c r="A24" s="117"/>
      <c r="B24" s="28" t="s">
        <v>33</v>
      </c>
      <c r="C24" s="20">
        <f>D24+F24</f>
        <v>193</v>
      </c>
      <c r="D24" s="21">
        <v>92</v>
      </c>
      <c r="E24" s="22">
        <v>60</v>
      </c>
      <c r="F24" s="22">
        <v>101</v>
      </c>
      <c r="G24" s="23">
        <f>SUM(H24:N24)</f>
        <v>89</v>
      </c>
      <c r="H24" s="23"/>
      <c r="I24" s="24">
        <v>44</v>
      </c>
      <c r="J24" s="24"/>
      <c r="K24" s="24"/>
      <c r="L24" s="24">
        <v>1.1</v>
      </c>
      <c r="M24" s="24">
        <v>0.3</v>
      </c>
      <c r="N24" s="24">
        <v>43.6</v>
      </c>
      <c r="O24" s="23">
        <f>C24+G24</f>
        <v>282</v>
      </c>
      <c r="P24" s="30">
        <f>SUM(Q24:AB24)</f>
        <v>389.00000000000006</v>
      </c>
      <c r="Q24" s="45">
        <v>322</v>
      </c>
      <c r="R24" s="24">
        <v>22.3</v>
      </c>
      <c r="S24" s="24"/>
      <c r="T24" s="24">
        <v>1.1</v>
      </c>
      <c r="U24" s="24">
        <v>43.6</v>
      </c>
      <c r="V24" s="24"/>
      <c r="W24" s="24"/>
      <c r="X24" s="24"/>
      <c r="Y24" s="24"/>
      <c r="Z24" s="24"/>
      <c r="AA24" s="24"/>
      <c r="AB24" s="24"/>
      <c r="AC24" s="32">
        <f>O24-P24</f>
        <v>-107.00000000000006</v>
      </c>
      <c r="AF24" s="17"/>
    </row>
    <row r="25" spans="1:32" ht="24" customHeight="1">
      <c r="A25" s="117"/>
      <c r="B25" s="33" t="s">
        <v>34</v>
      </c>
      <c r="C25" s="34">
        <f>D25+F25</f>
        <v>45.400000000000006</v>
      </c>
      <c r="D25" s="35">
        <v>40.2</v>
      </c>
      <c r="E25" s="36">
        <v>16.3</v>
      </c>
      <c r="F25" s="36">
        <v>5.2</v>
      </c>
      <c r="G25" s="29">
        <f>SUM(H25:N25)</f>
        <v>76.94999999999999</v>
      </c>
      <c r="H25" s="37"/>
      <c r="I25" s="37">
        <v>32.8</v>
      </c>
      <c r="J25" s="37"/>
      <c r="K25" s="37"/>
      <c r="L25" s="37">
        <v>0.4</v>
      </c>
      <c r="M25" s="37">
        <v>0.15</v>
      </c>
      <c r="N25" s="37">
        <v>43.6</v>
      </c>
      <c r="O25" s="29">
        <f>C25+G25</f>
        <v>122.35</v>
      </c>
      <c r="P25" s="30">
        <f>SUM(Q25:AB25)</f>
        <v>266</v>
      </c>
      <c r="Q25" s="38">
        <v>226.9</v>
      </c>
      <c r="R25" s="35">
        <v>21.8</v>
      </c>
      <c r="S25" s="35"/>
      <c r="T25" s="24">
        <v>0.5</v>
      </c>
      <c r="U25" s="24">
        <v>16.8</v>
      </c>
      <c r="V25" s="46"/>
      <c r="W25" s="46"/>
      <c r="X25" s="46"/>
      <c r="Y25" s="46"/>
      <c r="Z25" s="46"/>
      <c r="AA25" s="46"/>
      <c r="AB25" s="35"/>
      <c r="AC25" s="32">
        <f>O25-P25</f>
        <v>-143.65</v>
      </c>
      <c r="AD25" s="16">
        <f>Q25-C25</f>
        <v>181.5</v>
      </c>
      <c r="AF25" s="17"/>
    </row>
    <row r="26" spans="1:32" ht="18.75" customHeight="1">
      <c r="A26" s="118"/>
      <c r="B26" s="39" t="s">
        <v>35</v>
      </c>
      <c r="C26" s="40">
        <f aca="true" t="shared" si="4" ref="C26:O26">C25/C24%</f>
        <v>23.52331606217617</v>
      </c>
      <c r="D26" s="36">
        <f t="shared" si="4"/>
        <v>43.69565217391305</v>
      </c>
      <c r="E26" s="36">
        <f t="shared" si="4"/>
        <v>27.166666666666668</v>
      </c>
      <c r="F26" s="36">
        <f t="shared" si="4"/>
        <v>5.148514851485149</v>
      </c>
      <c r="G26" s="36">
        <f t="shared" si="4"/>
        <v>86.46067415730336</v>
      </c>
      <c r="H26" s="36"/>
      <c r="I26" s="36">
        <f t="shared" si="4"/>
        <v>74.54545454545453</v>
      </c>
      <c r="J26" s="36"/>
      <c r="K26" s="36"/>
      <c r="L26" s="36">
        <f t="shared" si="4"/>
        <v>36.36363636363636</v>
      </c>
      <c r="M26" s="36"/>
      <c r="N26" s="36">
        <f t="shared" si="4"/>
        <v>100</v>
      </c>
      <c r="O26" s="36">
        <f t="shared" si="4"/>
        <v>43.38652482269504</v>
      </c>
      <c r="P26" s="41">
        <f>P25/P24%</f>
        <v>68.38046272493573</v>
      </c>
      <c r="Q26" s="42">
        <f>Q25/Q24%</f>
        <v>70.46583850931677</v>
      </c>
      <c r="R26" s="36">
        <f>R25/R24%</f>
        <v>97.75784753363229</v>
      </c>
      <c r="S26" s="36"/>
      <c r="T26" s="36">
        <f>T25/T24%</f>
        <v>45.45454545454545</v>
      </c>
      <c r="U26" s="36">
        <f>U25/U24%</f>
        <v>38.53211009174312</v>
      </c>
      <c r="V26" s="36"/>
      <c r="W26" s="36"/>
      <c r="X26" s="36"/>
      <c r="Y26" s="36"/>
      <c r="Z26" s="36"/>
      <c r="AA26" s="36"/>
      <c r="AB26" s="36"/>
      <c r="AC26" s="43">
        <f>AC25/C25*100</f>
        <v>-316.4096916299559</v>
      </c>
      <c r="AD26" s="36" t="e">
        <f>AD25/AD24*100</f>
        <v>#DIV/0!</v>
      </c>
      <c r="AE26" s="36" t="e">
        <f>AE25/AE24*100</f>
        <v>#DIV/0!</v>
      </c>
      <c r="AF26" s="36" t="e">
        <f>AF25/AF24*100</f>
        <v>#DIV/0!</v>
      </c>
    </row>
    <row r="27" spans="1:29" s="27" customFormat="1" ht="24" customHeight="1" hidden="1">
      <c r="A27" s="116" t="s">
        <v>40</v>
      </c>
      <c r="B27" s="19" t="s">
        <v>32</v>
      </c>
      <c r="C27" s="20">
        <f>D27+F27</f>
        <v>276</v>
      </c>
      <c r="D27" s="21">
        <v>206</v>
      </c>
      <c r="E27" s="22">
        <v>120</v>
      </c>
      <c r="F27" s="22">
        <v>70</v>
      </c>
      <c r="G27" s="23">
        <f>SUM(H27:N27)</f>
        <v>166.6</v>
      </c>
      <c r="H27" s="23"/>
      <c r="I27" s="24">
        <v>119</v>
      </c>
      <c r="J27" s="24"/>
      <c r="K27" s="24"/>
      <c r="L27" s="24">
        <v>3.1</v>
      </c>
      <c r="M27" s="24">
        <v>0.8</v>
      </c>
      <c r="N27" s="24">
        <v>43.7</v>
      </c>
      <c r="O27" s="23">
        <f>C27+G27</f>
        <v>442.6</v>
      </c>
      <c r="P27" s="44">
        <f>SUM(Q27:AB27)</f>
        <v>470.2</v>
      </c>
      <c r="Q27" s="45">
        <f>424.2-3.1</f>
        <v>421.09999999999997</v>
      </c>
      <c r="R27" s="24">
        <v>0.3</v>
      </c>
      <c r="S27" s="24"/>
      <c r="T27" s="24">
        <v>3.1</v>
      </c>
      <c r="U27" s="24">
        <v>43.7</v>
      </c>
      <c r="V27" s="24"/>
      <c r="W27" s="24"/>
      <c r="X27" s="24"/>
      <c r="Y27" s="24"/>
      <c r="Z27" s="24"/>
      <c r="AA27" s="24">
        <v>2</v>
      </c>
      <c r="AB27" s="24"/>
      <c r="AC27" s="43">
        <v>17.851578502850348</v>
      </c>
    </row>
    <row r="28" spans="1:32" ht="24" customHeight="1">
      <c r="A28" s="117"/>
      <c r="B28" s="28" t="s">
        <v>33</v>
      </c>
      <c r="C28" s="20">
        <f>D28+F28</f>
        <v>276</v>
      </c>
      <c r="D28" s="21">
        <v>199.6</v>
      </c>
      <c r="E28" s="22">
        <v>120</v>
      </c>
      <c r="F28" s="22">
        <v>76.4</v>
      </c>
      <c r="G28" s="23">
        <f>SUM(H28:N28)</f>
        <v>364.6</v>
      </c>
      <c r="H28" s="23"/>
      <c r="I28" s="24">
        <v>119</v>
      </c>
      <c r="J28" s="24">
        <v>198</v>
      </c>
      <c r="K28" s="24"/>
      <c r="L28" s="24">
        <v>3.1</v>
      </c>
      <c r="M28" s="24">
        <v>0.8</v>
      </c>
      <c r="N28" s="24">
        <v>43.7</v>
      </c>
      <c r="O28" s="23">
        <f>C28+G28</f>
        <v>640.6</v>
      </c>
      <c r="P28" s="30">
        <f>SUM(Q28:AB28)</f>
        <v>869.7000000000002</v>
      </c>
      <c r="Q28" s="45">
        <v>617.2</v>
      </c>
      <c r="R28" s="24">
        <v>203.7</v>
      </c>
      <c r="S28" s="24"/>
      <c r="T28" s="24">
        <v>3.1</v>
      </c>
      <c r="U28" s="24">
        <v>43.7</v>
      </c>
      <c r="V28" s="24"/>
      <c r="W28" s="24"/>
      <c r="X28" s="24"/>
      <c r="Y28" s="24"/>
      <c r="Z28" s="24"/>
      <c r="AA28" s="24">
        <v>2</v>
      </c>
      <c r="AB28" s="24"/>
      <c r="AC28" s="32">
        <f>O28-P28</f>
        <v>-229.10000000000014</v>
      </c>
      <c r="AF28" s="17"/>
    </row>
    <row r="29" spans="1:32" ht="24" customHeight="1">
      <c r="A29" s="117"/>
      <c r="B29" s="33" t="s">
        <v>34</v>
      </c>
      <c r="C29" s="34">
        <f>D29+F29</f>
        <v>180.8</v>
      </c>
      <c r="D29" s="35">
        <v>123.2</v>
      </c>
      <c r="E29" s="36">
        <v>69.4</v>
      </c>
      <c r="F29" s="36">
        <v>57.6</v>
      </c>
      <c r="G29" s="29">
        <f>SUM(H29:N29)</f>
        <v>135.72222</v>
      </c>
      <c r="H29" s="37"/>
      <c r="I29" s="37">
        <v>90</v>
      </c>
      <c r="J29" s="37"/>
      <c r="K29" s="37"/>
      <c r="L29" s="37">
        <v>1.62222</v>
      </c>
      <c r="M29" s="37">
        <v>0.4</v>
      </c>
      <c r="N29" s="37">
        <v>43.7</v>
      </c>
      <c r="O29" s="29">
        <f>C29+G29</f>
        <v>316.52222</v>
      </c>
      <c r="P29" s="30">
        <f>SUM(Q29:AB29)</f>
        <v>534.9</v>
      </c>
      <c r="Q29" s="38">
        <v>497.3</v>
      </c>
      <c r="R29" s="35">
        <v>3.9</v>
      </c>
      <c r="S29" s="35"/>
      <c r="T29" s="24">
        <v>1.6</v>
      </c>
      <c r="U29" s="24">
        <v>30.1</v>
      </c>
      <c r="V29" s="35"/>
      <c r="W29" s="35"/>
      <c r="X29" s="35"/>
      <c r="Y29" s="35"/>
      <c r="Z29" s="35"/>
      <c r="AA29" s="35">
        <v>2</v>
      </c>
      <c r="AB29" s="35"/>
      <c r="AC29" s="32">
        <f>O29-P29</f>
        <v>-218.37777999999997</v>
      </c>
      <c r="AD29" s="16">
        <f>Q29-C29</f>
        <v>316.5</v>
      </c>
      <c r="AF29" s="17"/>
    </row>
    <row r="30" spans="1:32" ht="18" customHeight="1">
      <c r="A30" s="118"/>
      <c r="B30" s="39" t="s">
        <v>35</v>
      </c>
      <c r="C30" s="40">
        <f aca="true" t="shared" si="5" ref="C30:AA30">C29/C28%</f>
        <v>65.50724637681161</v>
      </c>
      <c r="D30" s="36">
        <f t="shared" si="5"/>
        <v>61.723446893787575</v>
      </c>
      <c r="E30" s="36">
        <f t="shared" si="5"/>
        <v>57.83333333333334</v>
      </c>
      <c r="F30" s="36">
        <f t="shared" si="5"/>
        <v>75.39267015706807</v>
      </c>
      <c r="G30" s="36">
        <f t="shared" si="5"/>
        <v>37.224964344487105</v>
      </c>
      <c r="H30" s="36"/>
      <c r="I30" s="36">
        <f t="shared" si="5"/>
        <v>75.63025210084034</v>
      </c>
      <c r="J30" s="36"/>
      <c r="K30" s="36"/>
      <c r="L30" s="36">
        <f t="shared" si="5"/>
        <v>52.32967741935484</v>
      </c>
      <c r="M30" s="36">
        <f t="shared" si="5"/>
        <v>50</v>
      </c>
      <c r="N30" s="36">
        <f t="shared" si="5"/>
        <v>100</v>
      </c>
      <c r="O30" s="36">
        <f t="shared" si="5"/>
        <v>49.41027474242897</v>
      </c>
      <c r="P30" s="41">
        <f t="shared" si="5"/>
        <v>61.5039668851328</v>
      </c>
      <c r="Q30" s="42">
        <f t="shared" si="5"/>
        <v>80.57355800388852</v>
      </c>
      <c r="R30" s="36">
        <f t="shared" si="5"/>
        <v>1.914580265095729</v>
      </c>
      <c r="S30" s="36"/>
      <c r="T30" s="36">
        <f t="shared" si="5"/>
        <v>51.612903225806456</v>
      </c>
      <c r="U30" s="36">
        <f t="shared" si="5"/>
        <v>68.8787185354691</v>
      </c>
      <c r="V30" s="36"/>
      <c r="W30" s="36"/>
      <c r="X30" s="36"/>
      <c r="Y30" s="36"/>
      <c r="Z30" s="36"/>
      <c r="AA30" s="36">
        <f t="shared" si="5"/>
        <v>100</v>
      </c>
      <c r="AB30" s="36"/>
      <c r="AC30" s="43">
        <f>AC29/C29*100</f>
        <v>-120.78417035398228</v>
      </c>
      <c r="AD30" s="36" t="e">
        <f>AD29/AD28*100</f>
        <v>#DIV/0!</v>
      </c>
      <c r="AE30" s="36" t="e">
        <f>AE29/AE28*100</f>
        <v>#DIV/0!</v>
      </c>
      <c r="AF30" s="36" t="e">
        <f>AF29/AF28*100</f>
        <v>#DIV/0!</v>
      </c>
    </row>
    <row r="31" spans="1:29" s="27" customFormat="1" ht="24" customHeight="1" hidden="1">
      <c r="A31" s="116" t="s">
        <v>41</v>
      </c>
      <c r="B31" s="19" t="s">
        <v>32</v>
      </c>
      <c r="C31" s="20">
        <f>D31+F31</f>
        <v>444</v>
      </c>
      <c r="D31" s="21">
        <v>59</v>
      </c>
      <c r="E31" s="22">
        <v>40</v>
      </c>
      <c r="F31" s="22">
        <v>385</v>
      </c>
      <c r="G31" s="23">
        <f>SUM(H31:N31)</f>
        <v>137.5</v>
      </c>
      <c r="H31" s="23"/>
      <c r="I31" s="24">
        <v>91</v>
      </c>
      <c r="J31" s="24"/>
      <c r="K31" s="24"/>
      <c r="L31" s="24">
        <v>2.3</v>
      </c>
      <c r="M31" s="24">
        <v>0.6</v>
      </c>
      <c r="N31" s="24">
        <v>43.6</v>
      </c>
      <c r="O31" s="23">
        <f>C31+G31</f>
        <v>581.5</v>
      </c>
      <c r="P31" s="44">
        <f>SUM(Q31:AB31)</f>
        <v>625.9</v>
      </c>
      <c r="Q31" s="45">
        <f>569.3-2.3</f>
        <v>567</v>
      </c>
      <c r="R31" s="24">
        <v>10</v>
      </c>
      <c r="S31" s="24"/>
      <c r="T31" s="24">
        <v>2.3</v>
      </c>
      <c r="U31" s="24">
        <v>43.6</v>
      </c>
      <c r="V31" s="24"/>
      <c r="W31" s="24"/>
      <c r="X31" s="24"/>
      <c r="Y31" s="24"/>
      <c r="Z31" s="24"/>
      <c r="AA31" s="24">
        <v>3</v>
      </c>
      <c r="AB31" s="24"/>
      <c r="AC31" s="43">
        <v>17.851578502850348</v>
      </c>
    </row>
    <row r="32" spans="1:32" ht="24" customHeight="1">
      <c r="A32" s="117"/>
      <c r="B32" s="28" t="s">
        <v>33</v>
      </c>
      <c r="C32" s="20">
        <f>D32+F32</f>
        <v>444</v>
      </c>
      <c r="D32" s="21">
        <v>83</v>
      </c>
      <c r="E32" s="22">
        <v>39</v>
      </c>
      <c r="F32" s="22">
        <v>361</v>
      </c>
      <c r="G32" s="23">
        <f>SUM(H32:N32)</f>
        <v>137.5</v>
      </c>
      <c r="H32" s="23"/>
      <c r="I32" s="24">
        <v>91</v>
      </c>
      <c r="J32" s="24"/>
      <c r="K32" s="24"/>
      <c r="L32" s="24">
        <v>2.3</v>
      </c>
      <c r="M32" s="24">
        <v>0.6</v>
      </c>
      <c r="N32" s="24">
        <v>43.6</v>
      </c>
      <c r="O32" s="47">
        <f>C32+G32</f>
        <v>581.5</v>
      </c>
      <c r="P32" s="30">
        <f>SUM(Q32:AB32)</f>
        <v>704.5999999999999</v>
      </c>
      <c r="Q32" s="31">
        <v>618.3</v>
      </c>
      <c r="R32" s="32">
        <v>15</v>
      </c>
      <c r="S32" s="32">
        <f>22.4</f>
        <v>22.4</v>
      </c>
      <c r="T32" s="32">
        <v>2.3</v>
      </c>
      <c r="U32" s="32">
        <v>43.6</v>
      </c>
      <c r="V32" s="32"/>
      <c r="W32" s="32"/>
      <c r="X32" s="32"/>
      <c r="Y32" s="32"/>
      <c r="Z32" s="32"/>
      <c r="AA32" s="32">
        <v>3</v>
      </c>
      <c r="AB32" s="32"/>
      <c r="AC32" s="32">
        <f>O32-P32</f>
        <v>-123.09999999999991</v>
      </c>
      <c r="AF32" s="17"/>
    </row>
    <row r="33" spans="1:32" ht="24" customHeight="1">
      <c r="A33" s="117"/>
      <c r="B33" s="33" t="s">
        <v>34</v>
      </c>
      <c r="C33" s="34">
        <f>D33+F33</f>
        <v>141.1</v>
      </c>
      <c r="D33" s="35">
        <v>64.6</v>
      </c>
      <c r="E33" s="36">
        <v>26.1</v>
      </c>
      <c r="F33" s="36">
        <v>76.5</v>
      </c>
      <c r="G33" s="29">
        <f>SUM(H33:N33)</f>
        <v>112.69999999999999</v>
      </c>
      <c r="H33" s="37"/>
      <c r="I33" s="37">
        <v>68.8</v>
      </c>
      <c r="J33" s="37"/>
      <c r="K33" s="37"/>
      <c r="L33" s="37"/>
      <c r="M33" s="37">
        <v>0.3</v>
      </c>
      <c r="N33" s="37">
        <v>43.6</v>
      </c>
      <c r="O33" s="29">
        <f>C33+G33</f>
        <v>253.79999999999998</v>
      </c>
      <c r="P33" s="30">
        <f>SUM(Q33:AB33)</f>
        <v>535.88078</v>
      </c>
      <c r="Q33" s="38">
        <v>480.2</v>
      </c>
      <c r="R33" s="35">
        <v>6.7</v>
      </c>
      <c r="S33" s="35">
        <v>22.38078</v>
      </c>
      <c r="T33" s="32"/>
      <c r="U33" s="32">
        <v>24.6</v>
      </c>
      <c r="V33" s="35"/>
      <c r="W33" s="35"/>
      <c r="X33" s="35"/>
      <c r="Y33" s="35"/>
      <c r="Z33" s="35"/>
      <c r="AA33" s="35">
        <v>2</v>
      </c>
      <c r="AB33" s="35"/>
      <c r="AC33" s="32">
        <f>O33-P33</f>
        <v>-282.08078</v>
      </c>
      <c r="AD33" s="16">
        <f>Q33-C33</f>
        <v>339.1</v>
      </c>
      <c r="AF33" s="17"/>
    </row>
    <row r="34" spans="1:32" ht="18" customHeight="1">
      <c r="A34" s="118"/>
      <c r="B34" s="39" t="s">
        <v>35</v>
      </c>
      <c r="C34" s="40">
        <f aca="true" t="shared" si="6" ref="C34:AA34">C33/C32%</f>
        <v>31.779279279279276</v>
      </c>
      <c r="D34" s="36">
        <f t="shared" si="6"/>
        <v>77.83132530120481</v>
      </c>
      <c r="E34" s="36">
        <f t="shared" si="6"/>
        <v>66.92307692307692</v>
      </c>
      <c r="F34" s="36">
        <f t="shared" si="6"/>
        <v>21.191135734072024</v>
      </c>
      <c r="G34" s="36">
        <f t="shared" si="6"/>
        <v>81.96363636363635</v>
      </c>
      <c r="H34" s="36"/>
      <c r="I34" s="36">
        <f t="shared" si="6"/>
        <v>75.60439560439559</v>
      </c>
      <c r="J34" s="36"/>
      <c r="K34" s="36"/>
      <c r="L34" s="36">
        <f t="shared" si="6"/>
        <v>0</v>
      </c>
      <c r="M34" s="36"/>
      <c r="N34" s="36">
        <f t="shared" si="6"/>
        <v>100</v>
      </c>
      <c r="O34" s="36">
        <f t="shared" si="6"/>
        <v>43.645743766122095</v>
      </c>
      <c r="P34" s="41">
        <f t="shared" si="6"/>
        <v>76.05460970763554</v>
      </c>
      <c r="Q34" s="42">
        <f t="shared" si="6"/>
        <v>77.66456412744623</v>
      </c>
      <c r="R34" s="36">
        <f t="shared" si="6"/>
        <v>44.66666666666667</v>
      </c>
      <c r="S34" s="36">
        <f t="shared" si="6"/>
        <v>99.91419642857144</v>
      </c>
      <c r="T34" s="36">
        <f t="shared" si="6"/>
        <v>0</v>
      </c>
      <c r="U34" s="36">
        <f t="shared" si="6"/>
        <v>56.42201834862386</v>
      </c>
      <c r="V34" s="36"/>
      <c r="W34" s="36"/>
      <c r="X34" s="36"/>
      <c r="Y34" s="36"/>
      <c r="Z34" s="36"/>
      <c r="AA34" s="36">
        <f t="shared" si="6"/>
        <v>66.66666666666667</v>
      </c>
      <c r="AB34" s="36"/>
      <c r="AC34" s="43">
        <f>AC33/C33*100</f>
        <v>-199.9155067328136</v>
      </c>
      <c r="AD34" s="36" t="e">
        <f>AD33/AD32*100</f>
        <v>#DIV/0!</v>
      </c>
      <c r="AE34" s="36" t="e">
        <f>AE33/AE32*100</f>
        <v>#DIV/0!</v>
      </c>
      <c r="AF34" s="36" t="e">
        <f>AF33/AF32*100</f>
        <v>#DIV/0!</v>
      </c>
    </row>
    <row r="35" spans="1:29" s="27" customFormat="1" ht="24" customHeight="1" hidden="1">
      <c r="A35" s="116" t="s">
        <v>42</v>
      </c>
      <c r="B35" s="19" t="s">
        <v>32</v>
      </c>
      <c r="C35" s="20">
        <f>D35+F35</f>
        <v>813</v>
      </c>
      <c r="D35" s="21">
        <v>104</v>
      </c>
      <c r="E35" s="22">
        <v>40</v>
      </c>
      <c r="F35" s="22">
        <v>709</v>
      </c>
      <c r="G35" s="23">
        <f>SUM(H35:N35)</f>
        <v>145.8</v>
      </c>
      <c r="H35" s="23"/>
      <c r="I35" s="24">
        <v>99</v>
      </c>
      <c r="J35" s="24"/>
      <c r="K35" s="24"/>
      <c r="L35" s="24">
        <v>2.5</v>
      </c>
      <c r="M35" s="24">
        <v>0.7</v>
      </c>
      <c r="N35" s="24">
        <v>43.6</v>
      </c>
      <c r="O35" s="23">
        <f>C35+G35</f>
        <v>958.8</v>
      </c>
      <c r="P35" s="44">
        <f>SUM(Q35:AB35)</f>
        <v>958.8000000000001</v>
      </c>
      <c r="Q35" s="45">
        <f>824.2-2.5</f>
        <v>821.7</v>
      </c>
      <c r="R35" s="24">
        <v>15</v>
      </c>
      <c r="S35" s="24"/>
      <c r="T35" s="24">
        <v>2.5</v>
      </c>
      <c r="U35" s="24">
        <v>43.6</v>
      </c>
      <c r="V35" s="24">
        <v>72</v>
      </c>
      <c r="W35" s="24"/>
      <c r="X35" s="24"/>
      <c r="Y35" s="24"/>
      <c r="Z35" s="24"/>
      <c r="AA35" s="24">
        <v>4</v>
      </c>
      <c r="AB35" s="24"/>
      <c r="AC35" s="24">
        <f>O35-P35</f>
        <v>0</v>
      </c>
    </row>
    <row r="36" spans="1:32" ht="24" customHeight="1">
      <c r="A36" s="117"/>
      <c r="B36" s="28" t="s">
        <v>33</v>
      </c>
      <c r="C36" s="20">
        <f>D36+F36</f>
        <v>813</v>
      </c>
      <c r="D36" s="21">
        <v>107</v>
      </c>
      <c r="E36" s="22">
        <v>40</v>
      </c>
      <c r="F36" s="22">
        <v>706</v>
      </c>
      <c r="G36" s="23">
        <f>SUM(H36:N36)</f>
        <v>1150.2</v>
      </c>
      <c r="H36" s="23"/>
      <c r="I36" s="24">
        <v>99</v>
      </c>
      <c r="J36" s="24">
        <v>1004.4</v>
      </c>
      <c r="K36" s="24"/>
      <c r="L36" s="24">
        <v>2.5</v>
      </c>
      <c r="M36" s="24">
        <v>0.7</v>
      </c>
      <c r="N36" s="24">
        <v>43.6</v>
      </c>
      <c r="O36" s="47">
        <f>C36+G36</f>
        <v>1963.2</v>
      </c>
      <c r="P36" s="30">
        <f>SUM(Q36:AB36)</f>
        <v>1963.1999999999998</v>
      </c>
      <c r="Q36" s="31">
        <v>786.1</v>
      </c>
      <c r="R36" s="32">
        <v>689.4</v>
      </c>
      <c r="S36" s="32"/>
      <c r="T36" s="32">
        <v>2.5</v>
      </c>
      <c r="U36" s="32">
        <v>43.6</v>
      </c>
      <c r="V36" s="32">
        <v>72</v>
      </c>
      <c r="W36" s="32"/>
      <c r="X36" s="32"/>
      <c r="Y36" s="32"/>
      <c r="Z36" s="32"/>
      <c r="AA36" s="32">
        <v>4</v>
      </c>
      <c r="AB36" s="32">
        <v>365.6</v>
      </c>
      <c r="AC36" s="32">
        <f>O36-P36</f>
        <v>0</v>
      </c>
      <c r="AF36" s="17"/>
    </row>
    <row r="37" spans="1:32" ht="24" customHeight="1">
      <c r="A37" s="117"/>
      <c r="B37" s="33" t="s">
        <v>34</v>
      </c>
      <c r="C37" s="34">
        <f>D37+F37</f>
        <v>79.6</v>
      </c>
      <c r="D37" s="35">
        <v>56.3</v>
      </c>
      <c r="E37" s="36">
        <v>24.9</v>
      </c>
      <c r="F37" s="36">
        <v>23.3</v>
      </c>
      <c r="G37" s="29">
        <f>SUM(H37:N37)</f>
        <v>759.33148</v>
      </c>
      <c r="H37" s="37"/>
      <c r="I37" s="37">
        <v>74.9</v>
      </c>
      <c r="J37" s="37">
        <v>639.4</v>
      </c>
      <c r="K37" s="37"/>
      <c r="L37" s="37">
        <v>1.08148</v>
      </c>
      <c r="M37" s="37">
        <v>0.35</v>
      </c>
      <c r="N37" s="37">
        <v>43.6</v>
      </c>
      <c r="O37" s="29">
        <f>C37+G37</f>
        <v>838.9314800000001</v>
      </c>
      <c r="P37" s="30">
        <f>SUM(Q37:AB37)</f>
        <v>644.3810000000001</v>
      </c>
      <c r="Q37" s="38">
        <v>338.3</v>
      </c>
      <c r="R37" s="35">
        <v>232.3</v>
      </c>
      <c r="S37" s="35"/>
      <c r="T37" s="32">
        <v>1.081</v>
      </c>
      <c r="U37" s="32">
        <v>33.4</v>
      </c>
      <c r="V37" s="35">
        <v>35.5</v>
      </c>
      <c r="W37" s="35"/>
      <c r="X37" s="35"/>
      <c r="Y37" s="35"/>
      <c r="Z37" s="35"/>
      <c r="AA37" s="35">
        <v>3.2</v>
      </c>
      <c r="AB37" s="35">
        <v>0.6</v>
      </c>
      <c r="AC37" s="32">
        <f>O37-P37</f>
        <v>194.55048</v>
      </c>
      <c r="AD37" s="16">
        <f>Q37-C37</f>
        <v>258.70000000000005</v>
      </c>
      <c r="AF37" s="16"/>
    </row>
    <row r="38" spans="1:32" ht="18" customHeight="1">
      <c r="A38" s="118"/>
      <c r="B38" s="39" t="s">
        <v>35</v>
      </c>
      <c r="C38" s="40">
        <f aca="true" t="shared" si="7" ref="C38:AA38">C37/C36%</f>
        <v>9.790897908979089</v>
      </c>
      <c r="D38" s="36">
        <f t="shared" si="7"/>
        <v>52.616822429906534</v>
      </c>
      <c r="E38" s="36">
        <f t="shared" si="7"/>
        <v>62.24999999999999</v>
      </c>
      <c r="F38" s="36">
        <f t="shared" si="7"/>
        <v>3.3002832861189804</v>
      </c>
      <c r="G38" s="36">
        <f t="shared" si="7"/>
        <v>66.0173430707703</v>
      </c>
      <c r="H38" s="36"/>
      <c r="I38" s="36">
        <f t="shared" si="7"/>
        <v>75.65656565656566</v>
      </c>
      <c r="J38" s="36">
        <f t="shared" si="7"/>
        <v>63.65989645559537</v>
      </c>
      <c r="K38" s="36"/>
      <c r="L38" s="36">
        <f t="shared" si="7"/>
        <v>43.2592</v>
      </c>
      <c r="M38" s="36"/>
      <c r="N38" s="36">
        <f t="shared" si="7"/>
        <v>100</v>
      </c>
      <c r="O38" s="36">
        <f t="shared" si="7"/>
        <v>42.73285859820701</v>
      </c>
      <c r="P38" s="41">
        <f t="shared" si="7"/>
        <v>32.82299307253464</v>
      </c>
      <c r="Q38" s="42">
        <f t="shared" si="7"/>
        <v>43.03523724716957</v>
      </c>
      <c r="R38" s="36">
        <f t="shared" si="7"/>
        <v>33.695967507977954</v>
      </c>
      <c r="S38" s="36"/>
      <c r="T38" s="36">
        <f t="shared" si="7"/>
        <v>43.239999999999995</v>
      </c>
      <c r="U38" s="36">
        <f t="shared" si="7"/>
        <v>76.60550458715596</v>
      </c>
      <c r="V38" s="36">
        <f t="shared" si="7"/>
        <v>49.30555555555556</v>
      </c>
      <c r="W38" s="36"/>
      <c r="X38" s="36"/>
      <c r="Y38" s="36"/>
      <c r="Z38" s="36"/>
      <c r="AA38" s="36">
        <f t="shared" si="7"/>
        <v>80</v>
      </c>
      <c r="AB38" s="36"/>
      <c r="AC38" s="43">
        <f>AC37/C37*100</f>
        <v>244.41015075376887</v>
      </c>
      <c r="AD38" s="36" t="e">
        <f>AD37/AD36*100</f>
        <v>#DIV/0!</v>
      </c>
      <c r="AE38" s="36" t="e">
        <f>AE37/AE36*100</f>
        <v>#DIV/0!</v>
      </c>
      <c r="AF38" s="36" t="e">
        <f>AF37/AF36*100</f>
        <v>#DIV/0!</v>
      </c>
    </row>
    <row r="39" spans="1:29" s="27" customFormat="1" ht="24" customHeight="1" hidden="1">
      <c r="A39" s="116" t="s">
        <v>43</v>
      </c>
      <c r="B39" s="19" t="s">
        <v>32</v>
      </c>
      <c r="C39" s="20">
        <f>D39+F39</f>
        <v>483</v>
      </c>
      <c r="D39" s="21">
        <v>141</v>
      </c>
      <c r="E39" s="22">
        <v>90</v>
      </c>
      <c r="F39" s="22">
        <v>342</v>
      </c>
      <c r="G39" s="23">
        <f>SUM(H39:N39)</f>
        <v>142.7</v>
      </c>
      <c r="H39" s="23"/>
      <c r="I39" s="24">
        <v>96</v>
      </c>
      <c r="J39" s="24"/>
      <c r="K39" s="24"/>
      <c r="L39" s="24">
        <v>2.5</v>
      </c>
      <c r="M39" s="24">
        <v>0.6</v>
      </c>
      <c r="N39" s="24">
        <v>43.6</v>
      </c>
      <c r="O39" s="23">
        <f>C39+G39</f>
        <v>625.7</v>
      </c>
      <c r="P39" s="44">
        <f>SUM(Q39:AB39)</f>
        <v>625.7</v>
      </c>
      <c r="Q39" s="45">
        <f>533.1-2.5</f>
        <v>530.6</v>
      </c>
      <c r="R39" s="24">
        <v>36</v>
      </c>
      <c r="S39" s="24"/>
      <c r="T39" s="24">
        <v>2.5</v>
      </c>
      <c r="U39" s="24">
        <v>43.6</v>
      </c>
      <c r="V39" s="24"/>
      <c r="W39" s="24"/>
      <c r="X39" s="24"/>
      <c r="Y39" s="24"/>
      <c r="Z39" s="24"/>
      <c r="AA39" s="24">
        <v>13</v>
      </c>
      <c r="AB39" s="24"/>
      <c r="AC39" s="24">
        <f>O39-P39</f>
        <v>0</v>
      </c>
    </row>
    <row r="40" spans="1:32" ht="24" customHeight="1">
      <c r="A40" s="117"/>
      <c r="B40" s="28" t="s">
        <v>33</v>
      </c>
      <c r="C40" s="20">
        <f>D40+F40</f>
        <v>1050.9</v>
      </c>
      <c r="D40" s="21">
        <v>144.5</v>
      </c>
      <c r="E40" s="22">
        <v>90</v>
      </c>
      <c r="F40" s="22">
        <v>906.4</v>
      </c>
      <c r="G40" s="23">
        <f>SUM(H40:N40)</f>
        <v>142.7</v>
      </c>
      <c r="H40" s="23"/>
      <c r="I40" s="24">
        <v>96</v>
      </c>
      <c r="J40" s="24"/>
      <c r="K40" s="24"/>
      <c r="L40" s="24">
        <v>2.5</v>
      </c>
      <c r="M40" s="24">
        <v>0.6</v>
      </c>
      <c r="N40" s="24">
        <v>43.6</v>
      </c>
      <c r="O40" s="23">
        <f>C40+G40</f>
        <v>1193.6000000000001</v>
      </c>
      <c r="P40" s="30">
        <f>SUM(Q40:AB40)</f>
        <v>1193.6000000000001</v>
      </c>
      <c r="Q40" s="31">
        <v>773.7</v>
      </c>
      <c r="R40" s="32">
        <v>37.3</v>
      </c>
      <c r="S40" s="32">
        <v>32.4</v>
      </c>
      <c r="T40" s="32">
        <v>2.5</v>
      </c>
      <c r="U40" s="32">
        <v>43.6</v>
      </c>
      <c r="V40" s="32"/>
      <c r="W40" s="32">
        <v>298.2</v>
      </c>
      <c r="X40" s="32"/>
      <c r="Y40" s="32"/>
      <c r="Z40" s="32"/>
      <c r="AA40" s="32">
        <v>5.9</v>
      </c>
      <c r="AB40" s="32"/>
      <c r="AC40" s="32">
        <f>O40-P40</f>
        <v>0</v>
      </c>
      <c r="AF40" s="17"/>
    </row>
    <row r="41" spans="1:32" ht="24" customHeight="1">
      <c r="A41" s="117"/>
      <c r="B41" s="33" t="s">
        <v>34</v>
      </c>
      <c r="C41" s="34">
        <f>D41+F41</f>
        <v>986</v>
      </c>
      <c r="D41" s="35">
        <v>70.5</v>
      </c>
      <c r="E41" s="36">
        <v>30.9</v>
      </c>
      <c r="F41" s="36">
        <v>915.5</v>
      </c>
      <c r="G41" s="29">
        <f>SUM(H41:N41)</f>
        <v>118.06296</v>
      </c>
      <c r="H41" s="37"/>
      <c r="I41" s="37">
        <v>72</v>
      </c>
      <c r="J41" s="37"/>
      <c r="K41" s="37"/>
      <c r="L41" s="37">
        <v>2.16296</v>
      </c>
      <c r="M41" s="37">
        <v>0.3</v>
      </c>
      <c r="N41" s="37">
        <v>43.6</v>
      </c>
      <c r="O41" s="29">
        <f>C41+G41</f>
        <v>1104.06296</v>
      </c>
      <c r="P41" s="30">
        <f>SUM(Q41:AB41)</f>
        <v>1035.9492799999998</v>
      </c>
      <c r="Q41" s="38">
        <v>655.8</v>
      </c>
      <c r="R41" s="35">
        <v>36.9</v>
      </c>
      <c r="S41" s="35">
        <v>28.6</v>
      </c>
      <c r="T41" s="32">
        <v>2.1</v>
      </c>
      <c r="U41" s="32">
        <v>13.4</v>
      </c>
      <c r="V41" s="35"/>
      <c r="W41" s="35">
        <v>297.04928</v>
      </c>
      <c r="X41" s="35"/>
      <c r="Y41" s="35"/>
      <c r="Z41" s="35"/>
      <c r="AA41" s="35">
        <v>2.1</v>
      </c>
      <c r="AB41" s="35"/>
      <c r="AC41" s="32">
        <f>O41-P41</f>
        <v>68.11368000000016</v>
      </c>
      <c r="AD41" s="16">
        <f>Q41-C41</f>
        <v>-330.20000000000005</v>
      </c>
      <c r="AF41" s="17"/>
    </row>
    <row r="42" spans="1:32" ht="18" customHeight="1">
      <c r="A42" s="118"/>
      <c r="B42" s="39" t="s">
        <v>35</v>
      </c>
      <c r="C42" s="40">
        <f aca="true" t="shared" si="8" ref="C42:AA42">C41/C40%</f>
        <v>93.82434104101246</v>
      </c>
      <c r="D42" s="36">
        <f t="shared" si="8"/>
        <v>48.78892733564014</v>
      </c>
      <c r="E42" s="36">
        <f t="shared" si="8"/>
        <v>34.33333333333333</v>
      </c>
      <c r="F42" s="36">
        <f t="shared" si="8"/>
        <v>101.00397175639894</v>
      </c>
      <c r="G42" s="36">
        <f t="shared" si="8"/>
        <v>82.73508058864752</v>
      </c>
      <c r="H42" s="36"/>
      <c r="I42" s="36">
        <f t="shared" si="8"/>
        <v>75</v>
      </c>
      <c r="J42" s="36"/>
      <c r="K42" s="36"/>
      <c r="L42" s="36">
        <f t="shared" si="8"/>
        <v>86.5184</v>
      </c>
      <c r="M42" s="36"/>
      <c r="N42" s="36">
        <f t="shared" si="8"/>
        <v>100</v>
      </c>
      <c r="O42" s="36">
        <f t="shared" si="8"/>
        <v>92.49857238605897</v>
      </c>
      <c r="P42" s="41">
        <f t="shared" si="8"/>
        <v>86.79199731903482</v>
      </c>
      <c r="Q42" s="42">
        <f t="shared" si="8"/>
        <v>84.76153547886777</v>
      </c>
      <c r="R42" s="36">
        <f t="shared" si="8"/>
        <v>98.92761394101876</v>
      </c>
      <c r="S42" s="36">
        <f t="shared" si="8"/>
        <v>88.27160493827161</v>
      </c>
      <c r="T42" s="36">
        <f t="shared" si="8"/>
        <v>84</v>
      </c>
      <c r="U42" s="36">
        <f t="shared" si="8"/>
        <v>30.73394495412844</v>
      </c>
      <c r="V42" s="36"/>
      <c r="W42" s="36">
        <f t="shared" si="8"/>
        <v>99.61411133467473</v>
      </c>
      <c r="X42" s="36"/>
      <c r="Y42" s="36"/>
      <c r="Z42" s="36"/>
      <c r="AA42" s="36">
        <f t="shared" si="8"/>
        <v>35.59322033898305</v>
      </c>
      <c r="AB42" s="36"/>
      <c r="AC42" s="43">
        <f>AC41/C41*100</f>
        <v>6.908081135902654</v>
      </c>
      <c r="AD42" s="36" t="e">
        <f>AD41/AD40*100</f>
        <v>#DIV/0!</v>
      </c>
      <c r="AE42" s="36" t="e">
        <f>AE41/AE40*100</f>
        <v>#DIV/0!</v>
      </c>
      <c r="AF42" s="36" t="e">
        <f>AF41/AF40*100</f>
        <v>#DIV/0!</v>
      </c>
    </row>
    <row r="43" spans="1:29" s="27" customFormat="1" ht="24" customHeight="1" hidden="1">
      <c r="A43" s="116" t="s">
        <v>44</v>
      </c>
      <c r="B43" s="19" t="s">
        <v>32</v>
      </c>
      <c r="C43" s="20">
        <f>D43+F43</f>
        <v>10640</v>
      </c>
      <c r="D43" s="21">
        <v>10634</v>
      </c>
      <c r="E43" s="22">
        <v>190</v>
      </c>
      <c r="F43" s="22">
        <v>6</v>
      </c>
      <c r="G43" s="23">
        <f>SUM(H43:N43)</f>
        <v>248.10000000000002</v>
      </c>
      <c r="H43" s="23"/>
      <c r="I43" s="24">
        <v>198</v>
      </c>
      <c r="J43" s="24"/>
      <c r="K43" s="24"/>
      <c r="L43" s="24">
        <v>5.1</v>
      </c>
      <c r="M43" s="24">
        <v>1.3</v>
      </c>
      <c r="N43" s="24">
        <v>43.7</v>
      </c>
      <c r="O43" s="23">
        <f>C43+G43</f>
        <v>10888.1</v>
      </c>
      <c r="P43" s="44">
        <f>SUM(Q43:AB43)</f>
        <v>10888.1</v>
      </c>
      <c r="Q43" s="45">
        <f>5026.7-5.1</f>
        <v>5021.599999999999</v>
      </c>
      <c r="R43" s="24">
        <v>2185</v>
      </c>
      <c r="S43" s="24">
        <v>3357.5</v>
      </c>
      <c r="T43" s="24">
        <v>5.1</v>
      </c>
      <c r="U43" s="24">
        <v>43.7</v>
      </c>
      <c r="V43" s="24"/>
      <c r="W43" s="24">
        <v>275.2</v>
      </c>
      <c r="X43" s="24"/>
      <c r="Y43" s="24"/>
      <c r="Z43" s="24"/>
      <c r="AA43" s="24"/>
      <c r="AB43" s="24"/>
      <c r="AC43" s="24">
        <f>O43-P43</f>
        <v>0</v>
      </c>
    </row>
    <row r="44" spans="1:32" ht="24" customHeight="1">
      <c r="A44" s="117"/>
      <c r="B44" s="28" t="s">
        <v>33</v>
      </c>
      <c r="C44" s="20">
        <f>D44+F44</f>
        <v>10650</v>
      </c>
      <c r="D44" s="21">
        <v>10634</v>
      </c>
      <c r="E44" s="22">
        <v>173</v>
      </c>
      <c r="F44" s="22">
        <v>16</v>
      </c>
      <c r="G44" s="23">
        <f>SUM(H44:N44)</f>
        <v>575.4</v>
      </c>
      <c r="H44" s="23"/>
      <c r="I44" s="24">
        <v>198</v>
      </c>
      <c r="J44" s="24">
        <v>327.3</v>
      </c>
      <c r="K44" s="24"/>
      <c r="L44" s="24">
        <v>5.1</v>
      </c>
      <c r="M44" s="24">
        <v>1.3</v>
      </c>
      <c r="N44" s="24">
        <v>43.7</v>
      </c>
      <c r="O44" s="23">
        <f>C44+G44</f>
        <v>11225.4</v>
      </c>
      <c r="P44" s="30">
        <f>SUM(Q44:AB44)</f>
        <v>11225.400000000001</v>
      </c>
      <c r="Q44" s="45">
        <v>5579.9</v>
      </c>
      <c r="R44" s="24">
        <v>1089</v>
      </c>
      <c r="S44" s="24">
        <v>3522.5</v>
      </c>
      <c r="T44" s="24">
        <v>5.1</v>
      </c>
      <c r="U44" s="24">
        <v>43.7</v>
      </c>
      <c r="V44" s="24"/>
      <c r="W44" s="24">
        <f>275+275.2+249.5</f>
        <v>799.7</v>
      </c>
      <c r="X44" s="24"/>
      <c r="Y44" s="24"/>
      <c r="Z44" s="24"/>
      <c r="AA44" s="24"/>
      <c r="AB44" s="24">
        <v>185.5</v>
      </c>
      <c r="AC44" s="32">
        <f>O44-P44</f>
        <v>0</v>
      </c>
      <c r="AF44" s="17"/>
    </row>
    <row r="45" spans="1:32" ht="24" customHeight="1">
      <c r="A45" s="117"/>
      <c r="B45" s="33" t="s">
        <v>34</v>
      </c>
      <c r="C45" s="34">
        <f>D45+F45</f>
        <v>7653.599999999999</v>
      </c>
      <c r="D45" s="35">
        <v>7640.2</v>
      </c>
      <c r="E45" s="36">
        <v>109.1</v>
      </c>
      <c r="F45" s="36">
        <v>13.4</v>
      </c>
      <c r="G45" s="29">
        <f>SUM(H45:N45)</f>
        <v>197.45000000000005</v>
      </c>
      <c r="H45" s="37"/>
      <c r="I45" s="37">
        <v>149.8</v>
      </c>
      <c r="J45" s="37"/>
      <c r="K45" s="37"/>
      <c r="L45" s="37">
        <v>3.3</v>
      </c>
      <c r="M45" s="37">
        <v>0.65</v>
      </c>
      <c r="N45" s="37">
        <v>43.7</v>
      </c>
      <c r="O45" s="29">
        <f>C45+G45</f>
        <v>7851.049999999999</v>
      </c>
      <c r="P45" s="30">
        <f>SUM(Q45:AB45)</f>
        <v>7455.7</v>
      </c>
      <c r="Q45" s="38">
        <v>4608.7</v>
      </c>
      <c r="R45" s="35">
        <v>34.6</v>
      </c>
      <c r="S45" s="35">
        <v>2312.2</v>
      </c>
      <c r="T45" s="24">
        <v>3.4</v>
      </c>
      <c r="U45" s="24"/>
      <c r="V45" s="35"/>
      <c r="W45" s="35">
        <v>439.1</v>
      </c>
      <c r="X45" s="35"/>
      <c r="Y45" s="35"/>
      <c r="Z45" s="35"/>
      <c r="AA45" s="35"/>
      <c r="AB45" s="35">
        <v>57.7</v>
      </c>
      <c r="AC45" s="32">
        <f>O45-P45</f>
        <v>395.34999999999945</v>
      </c>
      <c r="AD45" s="16">
        <f>Q45-C45</f>
        <v>-3044.8999999999996</v>
      </c>
      <c r="AF45" s="17"/>
    </row>
    <row r="46" spans="1:32" ht="18" customHeight="1">
      <c r="A46" s="118"/>
      <c r="B46" s="39" t="s">
        <v>35</v>
      </c>
      <c r="C46" s="40">
        <f aca="true" t="shared" si="9" ref="C46:AB46">C45/C44%</f>
        <v>71.86478873239436</v>
      </c>
      <c r="D46" s="36">
        <f t="shared" si="9"/>
        <v>71.84690615008464</v>
      </c>
      <c r="E46" s="36">
        <f t="shared" si="9"/>
        <v>63.0635838150289</v>
      </c>
      <c r="F46" s="36">
        <f t="shared" si="9"/>
        <v>83.75</v>
      </c>
      <c r="G46" s="36">
        <f t="shared" si="9"/>
        <v>34.31525895029546</v>
      </c>
      <c r="H46" s="36"/>
      <c r="I46" s="36">
        <f t="shared" si="9"/>
        <v>75.65656565656566</v>
      </c>
      <c r="J46" s="36">
        <f t="shared" si="9"/>
        <v>0</v>
      </c>
      <c r="K46" s="36"/>
      <c r="L46" s="36">
        <f t="shared" si="9"/>
        <v>64.70588235294117</v>
      </c>
      <c r="M46" s="36"/>
      <c r="N46" s="36">
        <f t="shared" si="9"/>
        <v>100</v>
      </c>
      <c r="O46" s="36">
        <f t="shared" si="9"/>
        <v>69.94004667985105</v>
      </c>
      <c r="P46" s="41">
        <f t="shared" si="9"/>
        <v>66.4181231849199</v>
      </c>
      <c r="Q46" s="42">
        <f t="shared" si="9"/>
        <v>82.59467015537912</v>
      </c>
      <c r="R46" s="36">
        <f t="shared" si="9"/>
        <v>3.17722681359045</v>
      </c>
      <c r="S46" s="36">
        <f t="shared" si="9"/>
        <v>65.64088005677785</v>
      </c>
      <c r="T46" s="36">
        <f t="shared" si="9"/>
        <v>66.66666666666667</v>
      </c>
      <c r="U46" s="36">
        <f t="shared" si="9"/>
        <v>0</v>
      </c>
      <c r="V46" s="36"/>
      <c r="W46" s="36">
        <f t="shared" si="9"/>
        <v>54.90809053395023</v>
      </c>
      <c r="X46" s="36"/>
      <c r="Y46" s="36"/>
      <c r="Z46" s="36"/>
      <c r="AA46" s="36"/>
      <c r="AB46" s="36">
        <f t="shared" si="9"/>
        <v>31.10512129380054</v>
      </c>
      <c r="AC46" s="43">
        <f>AC45/C45*100</f>
        <v>5.165543012438585</v>
      </c>
      <c r="AD46" s="36" t="e">
        <f>AD45/AD44*100</f>
        <v>#DIV/0!</v>
      </c>
      <c r="AE46" s="36" t="e">
        <f>AE45/AE44*100</f>
        <v>#DIV/0!</v>
      </c>
      <c r="AF46" s="36" t="e">
        <f>AF45/AF44*100</f>
        <v>#DIV/0!</v>
      </c>
    </row>
    <row r="47" spans="1:29" s="27" customFormat="1" ht="24" customHeight="1" hidden="1">
      <c r="A47" s="116" t="s">
        <v>45</v>
      </c>
      <c r="B47" s="19" t="s">
        <v>32</v>
      </c>
      <c r="C47" s="20">
        <f>D47+F47</f>
        <v>13582</v>
      </c>
      <c r="D47" s="21">
        <v>13227</v>
      </c>
      <c r="E47" s="22">
        <v>930</v>
      </c>
      <c r="F47" s="22">
        <v>355</v>
      </c>
      <c r="G47" s="23">
        <f>SUM(H47:N47)</f>
        <v>323.5</v>
      </c>
      <c r="H47" s="23"/>
      <c r="I47" s="24">
        <v>271</v>
      </c>
      <c r="J47" s="24"/>
      <c r="K47" s="24"/>
      <c r="L47" s="24">
        <v>7</v>
      </c>
      <c r="M47" s="24">
        <v>1.8</v>
      </c>
      <c r="N47" s="24">
        <v>43.7</v>
      </c>
      <c r="O47" s="23">
        <f>C47+G47</f>
        <v>13905.5</v>
      </c>
      <c r="P47" s="44">
        <f>SUM(Q47:AB47)</f>
        <v>13905.5</v>
      </c>
      <c r="Q47" s="45">
        <f>6187-7</f>
        <v>6180</v>
      </c>
      <c r="R47" s="24">
        <v>2312</v>
      </c>
      <c r="S47" s="24">
        <v>3294.9</v>
      </c>
      <c r="T47" s="24">
        <v>7</v>
      </c>
      <c r="U47" s="24">
        <v>43.7</v>
      </c>
      <c r="V47" s="24">
        <v>66.5</v>
      </c>
      <c r="W47" s="24">
        <v>277.1</v>
      </c>
      <c r="X47" s="24"/>
      <c r="Y47" s="24">
        <v>1541.3</v>
      </c>
      <c r="Z47" s="24">
        <v>183</v>
      </c>
      <c r="AA47" s="24"/>
      <c r="AB47" s="24"/>
      <c r="AC47" s="24">
        <f>O47-P47</f>
        <v>0</v>
      </c>
    </row>
    <row r="48" spans="1:32" ht="24" customHeight="1">
      <c r="A48" s="117"/>
      <c r="B48" s="28" t="s">
        <v>33</v>
      </c>
      <c r="C48" s="20">
        <f>D48+F48</f>
        <v>13582</v>
      </c>
      <c r="D48" s="21">
        <v>13227</v>
      </c>
      <c r="E48" s="22">
        <v>929</v>
      </c>
      <c r="F48" s="22">
        <v>355</v>
      </c>
      <c r="G48" s="23">
        <f>SUM(H48:N48)</f>
        <v>1222.2</v>
      </c>
      <c r="H48" s="23"/>
      <c r="I48" s="24">
        <v>271</v>
      </c>
      <c r="J48" s="24">
        <v>898.7</v>
      </c>
      <c r="K48" s="24"/>
      <c r="L48" s="24">
        <v>7</v>
      </c>
      <c r="M48" s="24">
        <v>1.8</v>
      </c>
      <c r="N48" s="24">
        <v>43.7</v>
      </c>
      <c r="O48" s="23">
        <f>C48+G48</f>
        <v>14804.2</v>
      </c>
      <c r="P48" s="30">
        <f>SUM(Q48:AB48)</f>
        <v>14804.2</v>
      </c>
      <c r="Q48" s="31">
        <v>6431.5</v>
      </c>
      <c r="R48" s="32">
        <v>2097.6</v>
      </c>
      <c r="S48" s="32">
        <v>3660.4</v>
      </c>
      <c r="T48" s="32">
        <v>7</v>
      </c>
      <c r="U48" s="32">
        <v>43.7</v>
      </c>
      <c r="V48" s="32">
        <v>66.5</v>
      </c>
      <c r="W48" s="32">
        <v>559.2</v>
      </c>
      <c r="X48" s="32"/>
      <c r="Y48" s="32">
        <v>1629.3</v>
      </c>
      <c r="Z48" s="32">
        <v>209</v>
      </c>
      <c r="AA48" s="32"/>
      <c r="AB48" s="32">
        <v>100</v>
      </c>
      <c r="AC48" s="32">
        <f>O48-P48</f>
        <v>0</v>
      </c>
      <c r="AF48" s="17"/>
    </row>
    <row r="49" spans="1:32" ht="24" customHeight="1">
      <c r="A49" s="117"/>
      <c r="B49" s="33" t="s">
        <v>34</v>
      </c>
      <c r="C49" s="34">
        <f>D49+F49</f>
        <v>7102.5</v>
      </c>
      <c r="D49" s="35">
        <v>7038.7</v>
      </c>
      <c r="E49" s="36">
        <v>89.8</v>
      </c>
      <c r="F49" s="36">
        <v>63.8</v>
      </c>
      <c r="G49" s="29">
        <f>SUM(H49:N49)</f>
        <v>1151.9</v>
      </c>
      <c r="H49" s="37"/>
      <c r="I49" s="37">
        <v>203.8</v>
      </c>
      <c r="J49" s="37">
        <v>898.7</v>
      </c>
      <c r="K49" s="37"/>
      <c r="L49" s="37">
        <v>4.8</v>
      </c>
      <c r="M49" s="37">
        <v>0.9</v>
      </c>
      <c r="N49" s="37">
        <v>43.7</v>
      </c>
      <c r="O49" s="29">
        <f>C49+G49</f>
        <v>8254.4</v>
      </c>
      <c r="P49" s="30">
        <f>SUM(Q49:AB49)</f>
        <v>7928.7</v>
      </c>
      <c r="Q49" s="38">
        <v>3404.3</v>
      </c>
      <c r="R49" s="35">
        <v>558.3</v>
      </c>
      <c r="S49" s="35">
        <v>2067.5</v>
      </c>
      <c r="T49" s="32">
        <v>4.8</v>
      </c>
      <c r="U49" s="32">
        <v>43.7</v>
      </c>
      <c r="V49" s="46"/>
      <c r="W49" s="35">
        <v>469.9</v>
      </c>
      <c r="X49" s="35"/>
      <c r="Y49" s="35">
        <v>1164.8</v>
      </c>
      <c r="Z49" s="35">
        <v>165.4</v>
      </c>
      <c r="AA49" s="35"/>
      <c r="AB49" s="35">
        <v>50</v>
      </c>
      <c r="AC49" s="32">
        <f>O49-P49</f>
        <v>325.6999999999998</v>
      </c>
      <c r="AD49" s="16">
        <f>Q49-C49</f>
        <v>-3698.2</v>
      </c>
      <c r="AF49" s="17"/>
    </row>
    <row r="50" spans="1:32" ht="18" customHeight="1">
      <c r="A50" s="118"/>
      <c r="B50" s="39" t="s">
        <v>35</v>
      </c>
      <c r="C50" s="40">
        <f aca="true" t="shared" si="10" ref="C50:AB50">C49/C48%</f>
        <v>52.29347666028568</v>
      </c>
      <c r="D50" s="36">
        <f t="shared" si="10"/>
        <v>53.21463672790504</v>
      </c>
      <c r="E50" s="36">
        <f t="shared" si="10"/>
        <v>9.666307857911734</v>
      </c>
      <c r="F50" s="36">
        <f t="shared" si="10"/>
        <v>17.971830985915492</v>
      </c>
      <c r="G50" s="36">
        <f t="shared" si="10"/>
        <v>94.24807723776796</v>
      </c>
      <c r="H50" s="36"/>
      <c r="I50" s="36">
        <f t="shared" si="10"/>
        <v>75.2029520295203</v>
      </c>
      <c r="J50" s="36">
        <f t="shared" si="10"/>
        <v>100</v>
      </c>
      <c r="K50" s="36"/>
      <c r="L50" s="36">
        <f t="shared" si="10"/>
        <v>68.57142857142857</v>
      </c>
      <c r="M50" s="36">
        <f t="shared" si="10"/>
        <v>49.99999999999999</v>
      </c>
      <c r="N50" s="36">
        <f t="shared" si="10"/>
        <v>100</v>
      </c>
      <c r="O50" s="36">
        <f t="shared" si="10"/>
        <v>55.75714999797354</v>
      </c>
      <c r="P50" s="41">
        <f t="shared" si="10"/>
        <v>53.55709866119074</v>
      </c>
      <c r="Q50" s="42">
        <f t="shared" si="10"/>
        <v>52.93166446396642</v>
      </c>
      <c r="R50" s="36">
        <f t="shared" si="10"/>
        <v>26.616132723112127</v>
      </c>
      <c r="S50" s="36">
        <f t="shared" si="10"/>
        <v>56.48289804392962</v>
      </c>
      <c r="T50" s="36">
        <f t="shared" si="10"/>
        <v>68.57142857142857</v>
      </c>
      <c r="U50" s="36">
        <f t="shared" si="10"/>
        <v>100</v>
      </c>
      <c r="V50" s="36">
        <f t="shared" si="10"/>
        <v>0</v>
      </c>
      <c r="W50" s="36">
        <f t="shared" si="10"/>
        <v>84.03075822603718</v>
      </c>
      <c r="X50" s="36"/>
      <c r="Y50" s="36">
        <f t="shared" si="10"/>
        <v>71.4908242803658</v>
      </c>
      <c r="Z50" s="36">
        <f t="shared" si="10"/>
        <v>79.13875598086125</v>
      </c>
      <c r="AA50" s="36"/>
      <c r="AB50" s="36">
        <f t="shared" si="10"/>
        <v>50</v>
      </c>
      <c r="AC50" s="43">
        <f>AC49/C49*100</f>
        <v>4.585709257303764</v>
      </c>
      <c r="AD50" s="36" t="e">
        <f>AD49/AD48*100</f>
        <v>#DIV/0!</v>
      </c>
      <c r="AE50" s="36" t="e">
        <f>AE49/AE48*100</f>
        <v>#DIV/0!</v>
      </c>
      <c r="AF50" s="36" t="e">
        <f>AF49/AF48*100</f>
        <v>#DIV/0!</v>
      </c>
    </row>
    <row r="51" spans="1:29" s="27" customFormat="1" ht="24" customHeight="1" hidden="1">
      <c r="A51" s="116" t="s">
        <v>46</v>
      </c>
      <c r="B51" s="19" t="s">
        <v>32</v>
      </c>
      <c r="C51" s="20">
        <f>D51+F51</f>
        <v>664</v>
      </c>
      <c r="D51" s="21">
        <v>278</v>
      </c>
      <c r="E51" s="22">
        <v>140</v>
      </c>
      <c r="F51" s="22">
        <v>386</v>
      </c>
      <c r="G51" s="23">
        <f>SUM(H51:N51)</f>
        <v>156.2</v>
      </c>
      <c r="H51" s="23"/>
      <c r="I51" s="24">
        <v>109</v>
      </c>
      <c r="J51" s="24"/>
      <c r="K51" s="24"/>
      <c r="L51" s="24">
        <v>2.8</v>
      </c>
      <c r="M51" s="24">
        <v>0.7</v>
      </c>
      <c r="N51" s="24">
        <v>43.7</v>
      </c>
      <c r="O51" s="23">
        <f>C51+G51</f>
        <v>820.2</v>
      </c>
      <c r="P51" s="44">
        <f>SUM(Q51:AB51)</f>
        <v>820.2</v>
      </c>
      <c r="Q51" s="45">
        <f>756.5-2.8</f>
        <v>753.7</v>
      </c>
      <c r="R51" s="24">
        <v>16</v>
      </c>
      <c r="S51" s="24"/>
      <c r="T51" s="24">
        <v>2.8</v>
      </c>
      <c r="U51" s="24">
        <v>43.7</v>
      </c>
      <c r="V51" s="24"/>
      <c r="W51" s="24"/>
      <c r="X51" s="24"/>
      <c r="Y51" s="24"/>
      <c r="Z51" s="24"/>
      <c r="AA51" s="24">
        <v>4</v>
      </c>
      <c r="AB51" s="24"/>
      <c r="AC51" s="24">
        <f>O51-P51</f>
        <v>0</v>
      </c>
    </row>
    <row r="52" spans="1:32" ht="24" customHeight="1">
      <c r="A52" s="117"/>
      <c r="B52" s="28" t="s">
        <v>33</v>
      </c>
      <c r="C52" s="20">
        <f>D52+F52</f>
        <v>664</v>
      </c>
      <c r="D52" s="21">
        <v>275</v>
      </c>
      <c r="E52" s="22">
        <v>140</v>
      </c>
      <c r="F52" s="22">
        <v>389</v>
      </c>
      <c r="G52" s="23">
        <f>SUM(H52:N52)</f>
        <v>233.5</v>
      </c>
      <c r="H52" s="23"/>
      <c r="I52" s="24">
        <v>109</v>
      </c>
      <c r="J52" s="24">
        <v>77.3</v>
      </c>
      <c r="K52" s="24"/>
      <c r="L52" s="24">
        <v>2.8</v>
      </c>
      <c r="M52" s="24">
        <v>0.7</v>
      </c>
      <c r="N52" s="24">
        <v>43.7</v>
      </c>
      <c r="O52" s="23">
        <f>C52+G52</f>
        <v>897.5</v>
      </c>
      <c r="P52" s="30">
        <f>SUM(Q52:AB52)</f>
        <v>905.1</v>
      </c>
      <c r="Q52" s="31">
        <v>743.7</v>
      </c>
      <c r="R52" s="32">
        <v>26</v>
      </c>
      <c r="S52" s="32"/>
      <c r="T52" s="32">
        <v>2.8</v>
      </c>
      <c r="U52" s="32">
        <v>43.7</v>
      </c>
      <c r="V52" s="32"/>
      <c r="W52" s="32"/>
      <c r="X52" s="32"/>
      <c r="Y52" s="32"/>
      <c r="Z52" s="32"/>
      <c r="AA52" s="32">
        <v>4</v>
      </c>
      <c r="AB52" s="32">
        <v>84.9</v>
      </c>
      <c r="AC52" s="32">
        <f>O52-P52</f>
        <v>-7.600000000000023</v>
      </c>
      <c r="AF52" s="17"/>
    </row>
    <row r="53" spans="1:32" ht="24" customHeight="1">
      <c r="A53" s="117"/>
      <c r="B53" s="33" t="s">
        <v>34</v>
      </c>
      <c r="C53" s="34">
        <f>D53+F53</f>
        <v>146.6</v>
      </c>
      <c r="D53" s="35">
        <v>135.1</v>
      </c>
      <c r="E53" s="36">
        <v>98.9</v>
      </c>
      <c r="F53" s="36">
        <v>11.5</v>
      </c>
      <c r="G53" s="29">
        <f>SUM(H53:N53)</f>
        <v>126.59074</v>
      </c>
      <c r="H53" s="37"/>
      <c r="I53" s="37">
        <v>82</v>
      </c>
      <c r="J53" s="37"/>
      <c r="K53" s="37"/>
      <c r="L53" s="37">
        <v>0.54074</v>
      </c>
      <c r="M53" s="37">
        <v>0.35</v>
      </c>
      <c r="N53" s="37">
        <v>43.7</v>
      </c>
      <c r="O53" s="29">
        <f>C53+G53</f>
        <v>273.19074</v>
      </c>
      <c r="P53" s="30">
        <f>SUM(Q53:AB53)</f>
        <v>377.34074</v>
      </c>
      <c r="Q53" s="31">
        <v>334.4</v>
      </c>
      <c r="R53" s="32">
        <v>4.8</v>
      </c>
      <c r="S53" s="32"/>
      <c r="T53" s="32">
        <v>0.54074</v>
      </c>
      <c r="U53" s="32">
        <v>27.9</v>
      </c>
      <c r="V53" s="29"/>
      <c r="W53" s="29"/>
      <c r="X53" s="29"/>
      <c r="Y53" s="29"/>
      <c r="Z53" s="29"/>
      <c r="AA53" s="32">
        <v>2</v>
      </c>
      <c r="AB53" s="32">
        <v>7.7</v>
      </c>
      <c r="AC53" s="32">
        <f>O53-P53</f>
        <v>-104.14999999999998</v>
      </c>
      <c r="AD53" s="16">
        <f>Q53-C53</f>
        <v>187.79999999999998</v>
      </c>
      <c r="AF53" s="17"/>
    </row>
    <row r="54" spans="1:32" ht="16.5" customHeight="1">
      <c r="A54" s="118"/>
      <c r="B54" s="39" t="s">
        <v>35</v>
      </c>
      <c r="C54" s="40">
        <f aca="true" t="shared" si="11" ref="C54:AA54">C53/C52%</f>
        <v>22.07831325301205</v>
      </c>
      <c r="D54" s="36">
        <f t="shared" si="11"/>
        <v>49.127272727272725</v>
      </c>
      <c r="E54" s="36">
        <f t="shared" si="11"/>
        <v>70.64285714285715</v>
      </c>
      <c r="F54" s="36">
        <f t="shared" si="11"/>
        <v>2.956298200514139</v>
      </c>
      <c r="G54" s="36">
        <f t="shared" si="11"/>
        <v>54.214449678800854</v>
      </c>
      <c r="H54" s="36"/>
      <c r="I54" s="36">
        <f t="shared" si="11"/>
        <v>75.22935779816513</v>
      </c>
      <c r="J54" s="36"/>
      <c r="K54" s="36"/>
      <c r="L54" s="36">
        <f t="shared" si="11"/>
        <v>19.31214285714286</v>
      </c>
      <c r="M54" s="36">
        <f t="shared" si="11"/>
        <v>50</v>
      </c>
      <c r="N54" s="36">
        <f t="shared" si="11"/>
        <v>100</v>
      </c>
      <c r="O54" s="36">
        <f t="shared" si="11"/>
        <v>30.439079665738163</v>
      </c>
      <c r="P54" s="41">
        <f t="shared" si="11"/>
        <v>41.690502706883215</v>
      </c>
      <c r="Q54" s="42">
        <f t="shared" si="11"/>
        <v>44.96436735242705</v>
      </c>
      <c r="R54" s="36">
        <f t="shared" si="11"/>
        <v>18.46153846153846</v>
      </c>
      <c r="S54" s="36"/>
      <c r="T54" s="36">
        <f t="shared" si="11"/>
        <v>19.31214285714286</v>
      </c>
      <c r="U54" s="36">
        <f t="shared" si="11"/>
        <v>63.844393592677335</v>
      </c>
      <c r="V54" s="36"/>
      <c r="W54" s="36"/>
      <c r="X54" s="36"/>
      <c r="Y54" s="36"/>
      <c r="Z54" s="36"/>
      <c r="AA54" s="36">
        <f t="shared" si="11"/>
        <v>50</v>
      </c>
      <c r="AB54" s="36"/>
      <c r="AC54" s="43">
        <f>AC53/C53*100</f>
        <v>-71.04365620736696</v>
      </c>
      <c r="AD54" s="36" t="e">
        <f>AD53/AD52*100</f>
        <v>#DIV/0!</v>
      </c>
      <c r="AE54" s="36" t="e">
        <f>AE53/AE52*100</f>
        <v>#DIV/0!</v>
      </c>
      <c r="AF54" s="36" t="e">
        <f>AF53/AF52*100</f>
        <v>#DIV/0!</v>
      </c>
    </row>
    <row r="55" spans="1:29" s="27" customFormat="1" ht="24" customHeight="1" hidden="1">
      <c r="A55" s="116" t="s">
        <v>47</v>
      </c>
      <c r="B55" s="19" t="s">
        <v>32</v>
      </c>
      <c r="C55" s="20">
        <f>D55+F55</f>
        <v>155</v>
      </c>
      <c r="D55" s="21">
        <v>42</v>
      </c>
      <c r="E55" s="22">
        <v>20</v>
      </c>
      <c r="F55" s="22">
        <v>113</v>
      </c>
      <c r="G55" s="23">
        <f>SUM(H55:N55)</f>
        <v>116.9</v>
      </c>
      <c r="H55" s="23"/>
      <c r="I55" s="24">
        <v>71</v>
      </c>
      <c r="J55" s="24"/>
      <c r="K55" s="24"/>
      <c r="L55" s="24">
        <v>1.8</v>
      </c>
      <c r="M55" s="24">
        <v>0.5</v>
      </c>
      <c r="N55" s="24">
        <v>43.6</v>
      </c>
      <c r="O55" s="23">
        <f>C55+G55</f>
        <v>271.9</v>
      </c>
      <c r="P55" s="44">
        <f>SUM(Q55:AB55)</f>
        <v>287.40000000000003</v>
      </c>
      <c r="Q55" s="45">
        <f>236.8-1.8</f>
        <v>235</v>
      </c>
      <c r="R55" s="24">
        <v>4</v>
      </c>
      <c r="S55" s="24"/>
      <c r="T55" s="24">
        <v>1.8</v>
      </c>
      <c r="U55" s="24">
        <v>43.6</v>
      </c>
      <c r="V55" s="24"/>
      <c r="W55" s="24"/>
      <c r="X55" s="24"/>
      <c r="Y55" s="24"/>
      <c r="Z55" s="24"/>
      <c r="AA55" s="24">
        <v>3</v>
      </c>
      <c r="AB55" s="24"/>
      <c r="AC55" s="24">
        <f>O55-P55</f>
        <v>-15.500000000000057</v>
      </c>
    </row>
    <row r="56" spans="1:32" ht="24" customHeight="1">
      <c r="A56" s="117"/>
      <c r="B56" s="28" t="s">
        <v>33</v>
      </c>
      <c r="C56" s="20">
        <f>D56+F56</f>
        <v>155</v>
      </c>
      <c r="D56" s="21">
        <v>64</v>
      </c>
      <c r="E56" s="22">
        <v>20</v>
      </c>
      <c r="F56" s="22">
        <v>91</v>
      </c>
      <c r="G56" s="23">
        <f>SUM(H56:N56)</f>
        <v>116.9</v>
      </c>
      <c r="H56" s="23"/>
      <c r="I56" s="24">
        <v>71</v>
      </c>
      <c r="J56" s="24"/>
      <c r="K56" s="24"/>
      <c r="L56" s="24">
        <v>1.8</v>
      </c>
      <c r="M56" s="24">
        <v>0.5</v>
      </c>
      <c r="N56" s="24">
        <v>43.6</v>
      </c>
      <c r="O56" s="23">
        <f>C56+G56</f>
        <v>271.9</v>
      </c>
      <c r="P56" s="30">
        <f>SUM(Q56:AB56)</f>
        <v>443.75256</v>
      </c>
      <c r="Q56" s="31">
        <v>363.5</v>
      </c>
      <c r="R56" s="32">
        <f>1+3</f>
        <v>4</v>
      </c>
      <c r="S56" s="32">
        <v>27.85256</v>
      </c>
      <c r="T56" s="32">
        <v>1.8</v>
      </c>
      <c r="U56" s="32">
        <v>43.6</v>
      </c>
      <c r="V56" s="32"/>
      <c r="W56" s="32"/>
      <c r="X56" s="32"/>
      <c r="Y56" s="32"/>
      <c r="Z56" s="32"/>
      <c r="AA56" s="32">
        <v>3</v>
      </c>
      <c r="AB56" s="32"/>
      <c r="AC56" s="32">
        <f>O56-P56</f>
        <v>-171.85256000000004</v>
      </c>
      <c r="AF56" s="17"/>
    </row>
    <row r="57" spans="1:32" ht="24" customHeight="1">
      <c r="A57" s="117"/>
      <c r="B57" s="33" t="s">
        <v>34</v>
      </c>
      <c r="C57" s="34">
        <f>D57+F57</f>
        <v>55.300000000000004</v>
      </c>
      <c r="D57" s="35">
        <v>45.7</v>
      </c>
      <c r="E57" s="36">
        <v>12.4</v>
      </c>
      <c r="F57" s="36">
        <v>9.6</v>
      </c>
      <c r="G57" s="29">
        <f>SUM(H57:N57)</f>
        <v>98.75</v>
      </c>
      <c r="H57" s="37"/>
      <c r="I57" s="37">
        <v>54</v>
      </c>
      <c r="J57" s="37"/>
      <c r="K57" s="37"/>
      <c r="L57" s="37">
        <v>0.9</v>
      </c>
      <c r="M57" s="37">
        <v>0.25</v>
      </c>
      <c r="N57" s="37">
        <v>43.6</v>
      </c>
      <c r="O57" s="29">
        <f>C57+G57</f>
        <v>154.05</v>
      </c>
      <c r="P57" s="30">
        <f>SUM(Q57:AB57)</f>
        <v>367.45255999999995</v>
      </c>
      <c r="Q57" s="31">
        <v>318.9</v>
      </c>
      <c r="R57" s="32"/>
      <c r="S57" s="32">
        <v>27.85256</v>
      </c>
      <c r="T57" s="32">
        <v>1</v>
      </c>
      <c r="U57" s="32">
        <v>17.7</v>
      </c>
      <c r="V57" s="32"/>
      <c r="W57" s="32"/>
      <c r="X57" s="32"/>
      <c r="Y57" s="32"/>
      <c r="Z57" s="32"/>
      <c r="AA57" s="32">
        <v>2</v>
      </c>
      <c r="AB57" s="32"/>
      <c r="AC57" s="32">
        <f>O57-P57</f>
        <v>-213.40255999999994</v>
      </c>
      <c r="AD57" s="16">
        <f>Q57-C57</f>
        <v>263.59999999999997</v>
      </c>
      <c r="AF57" s="17"/>
    </row>
    <row r="58" spans="1:32" ht="16.5" customHeight="1">
      <c r="A58" s="118"/>
      <c r="B58" s="39" t="s">
        <v>35</v>
      </c>
      <c r="C58" s="40">
        <f aca="true" t="shared" si="12" ref="C58:AA58">C57/C56%</f>
        <v>35.67741935483871</v>
      </c>
      <c r="D58" s="36">
        <f t="shared" si="12"/>
        <v>71.40625</v>
      </c>
      <c r="E58" s="36">
        <f t="shared" si="12"/>
        <v>62</v>
      </c>
      <c r="F58" s="36">
        <f t="shared" si="12"/>
        <v>10.54945054945055</v>
      </c>
      <c r="G58" s="36">
        <f t="shared" si="12"/>
        <v>84.47390932420872</v>
      </c>
      <c r="H58" s="36"/>
      <c r="I58" s="36">
        <f t="shared" si="12"/>
        <v>76.05633802816902</v>
      </c>
      <c r="J58" s="36"/>
      <c r="K58" s="36"/>
      <c r="L58" s="36">
        <f t="shared" si="12"/>
        <v>49.99999999999999</v>
      </c>
      <c r="M58" s="36">
        <f t="shared" si="12"/>
        <v>50</v>
      </c>
      <c r="N58" s="36">
        <f t="shared" si="12"/>
        <v>100</v>
      </c>
      <c r="O58" s="36">
        <f t="shared" si="12"/>
        <v>56.65685913938949</v>
      </c>
      <c r="P58" s="41">
        <f t="shared" si="12"/>
        <v>82.80573299678541</v>
      </c>
      <c r="Q58" s="42">
        <f t="shared" si="12"/>
        <v>87.73039889958734</v>
      </c>
      <c r="R58" s="36">
        <f t="shared" si="12"/>
        <v>0</v>
      </c>
      <c r="S58" s="36">
        <f t="shared" si="12"/>
        <v>100.00000000000001</v>
      </c>
      <c r="T58" s="36">
        <f t="shared" si="12"/>
        <v>55.55555555555555</v>
      </c>
      <c r="U58" s="36">
        <f t="shared" si="12"/>
        <v>40.596330275229356</v>
      </c>
      <c r="V58" s="36"/>
      <c r="W58" s="36"/>
      <c r="X58" s="36"/>
      <c r="Y58" s="36"/>
      <c r="Z58" s="36"/>
      <c r="AA58" s="36">
        <f t="shared" si="12"/>
        <v>66.66666666666667</v>
      </c>
      <c r="AB58" s="36"/>
      <c r="AC58" s="43">
        <f>AC57/C57*100</f>
        <v>-385.8997468354429</v>
      </c>
      <c r="AD58" s="36" t="e">
        <f>AD57/AD56*100</f>
        <v>#DIV/0!</v>
      </c>
      <c r="AE58" s="36" t="e">
        <f>AE57/AE56*100</f>
        <v>#DIV/0!</v>
      </c>
      <c r="AF58" s="36" t="e">
        <f>AF57/AF56*100</f>
        <v>#DIV/0!</v>
      </c>
    </row>
    <row r="59" spans="1:29" s="27" customFormat="1" ht="24" customHeight="1" hidden="1">
      <c r="A59" s="116" t="s">
        <v>48</v>
      </c>
      <c r="B59" s="19" t="s">
        <v>32</v>
      </c>
      <c r="C59" s="20">
        <f>D59+F59</f>
        <v>299</v>
      </c>
      <c r="D59" s="21">
        <v>228</v>
      </c>
      <c r="E59" s="22">
        <v>100</v>
      </c>
      <c r="F59" s="22">
        <v>71</v>
      </c>
      <c r="G59" s="23">
        <f>SUM(H59:N59)</f>
        <v>190.3</v>
      </c>
      <c r="H59" s="23"/>
      <c r="I59" s="24">
        <v>142</v>
      </c>
      <c r="J59" s="24"/>
      <c r="K59" s="24"/>
      <c r="L59" s="24">
        <v>3.6</v>
      </c>
      <c r="M59" s="24">
        <v>1</v>
      </c>
      <c r="N59" s="24">
        <v>43.7</v>
      </c>
      <c r="O59" s="23">
        <f>C59+G59</f>
        <v>489.3</v>
      </c>
      <c r="P59" s="44">
        <f>SUM(Q59:AB59)</f>
        <v>519.2</v>
      </c>
      <c r="Q59" s="45">
        <f>458.5-3.6</f>
        <v>454.9</v>
      </c>
      <c r="R59" s="24">
        <v>16</v>
      </c>
      <c r="S59" s="24"/>
      <c r="T59" s="24">
        <v>3.6</v>
      </c>
      <c r="U59" s="24">
        <v>43.7</v>
      </c>
      <c r="V59" s="24"/>
      <c r="W59" s="24"/>
      <c r="X59" s="24"/>
      <c r="Y59" s="24"/>
      <c r="Z59" s="24"/>
      <c r="AA59" s="24">
        <v>1</v>
      </c>
      <c r="AB59" s="24"/>
      <c r="AC59" s="24">
        <f>O59-P59</f>
        <v>-29.900000000000034</v>
      </c>
    </row>
    <row r="60" spans="1:32" ht="24" customHeight="1">
      <c r="A60" s="117"/>
      <c r="B60" s="28" t="s">
        <v>33</v>
      </c>
      <c r="C60" s="20">
        <f>D60+F60</f>
        <v>309</v>
      </c>
      <c r="D60" s="21">
        <v>241</v>
      </c>
      <c r="E60" s="22">
        <v>110</v>
      </c>
      <c r="F60" s="22">
        <v>68</v>
      </c>
      <c r="G60" s="23">
        <f>SUM(H60:N60)</f>
        <v>983.2</v>
      </c>
      <c r="H60" s="23"/>
      <c r="I60" s="24">
        <v>142</v>
      </c>
      <c r="J60" s="24">
        <v>792.9</v>
      </c>
      <c r="K60" s="24"/>
      <c r="L60" s="24">
        <v>3.6</v>
      </c>
      <c r="M60" s="24">
        <v>1</v>
      </c>
      <c r="N60" s="24">
        <v>43.7</v>
      </c>
      <c r="O60" s="23">
        <f>C60+G60</f>
        <v>1292.2</v>
      </c>
      <c r="P60" s="30">
        <f>SUM(Q60:AB60)</f>
        <v>1426.2</v>
      </c>
      <c r="Q60" s="45">
        <v>460</v>
      </c>
      <c r="R60" s="24">
        <v>834</v>
      </c>
      <c r="S60" s="24"/>
      <c r="T60" s="24">
        <v>3.6</v>
      </c>
      <c r="U60" s="24">
        <v>43.7</v>
      </c>
      <c r="V60" s="24"/>
      <c r="W60" s="24">
        <v>53.7</v>
      </c>
      <c r="X60" s="24"/>
      <c r="Y60" s="24"/>
      <c r="Z60" s="24"/>
      <c r="AA60" s="24">
        <v>3.5</v>
      </c>
      <c r="AB60" s="24">
        <v>27.7</v>
      </c>
      <c r="AC60" s="32">
        <f>O60-P60</f>
        <v>-134</v>
      </c>
      <c r="AF60" s="17"/>
    </row>
    <row r="61" spans="1:32" ht="24" customHeight="1">
      <c r="A61" s="117"/>
      <c r="B61" s="33" t="s">
        <v>34</v>
      </c>
      <c r="C61" s="34">
        <f>D61+F61</f>
        <v>168.4</v>
      </c>
      <c r="D61" s="35">
        <v>140.9</v>
      </c>
      <c r="E61" s="36">
        <v>68.8</v>
      </c>
      <c r="F61" s="36">
        <v>27.5</v>
      </c>
      <c r="G61" s="29">
        <f>SUM(H61:N61)</f>
        <v>921.9</v>
      </c>
      <c r="H61" s="37"/>
      <c r="I61" s="37">
        <v>107</v>
      </c>
      <c r="J61" s="37">
        <v>767.8</v>
      </c>
      <c r="K61" s="37"/>
      <c r="L61" s="37">
        <v>2.9</v>
      </c>
      <c r="M61" s="37">
        <v>0.5</v>
      </c>
      <c r="N61" s="37">
        <v>43.7</v>
      </c>
      <c r="O61" s="29">
        <f>C61+G61</f>
        <v>1090.3</v>
      </c>
      <c r="P61" s="30">
        <f>SUM(Q61:AB61)</f>
        <v>738.6999999999999</v>
      </c>
      <c r="Q61" s="38">
        <v>367.7</v>
      </c>
      <c r="R61" s="35">
        <v>290.7</v>
      </c>
      <c r="S61" s="35"/>
      <c r="T61" s="24">
        <v>2.7</v>
      </c>
      <c r="U61" s="24">
        <v>23.4</v>
      </c>
      <c r="V61" s="46"/>
      <c r="W61" s="35">
        <v>48.9</v>
      </c>
      <c r="X61" s="35"/>
      <c r="Y61" s="46"/>
      <c r="Z61" s="46"/>
      <c r="AA61" s="35">
        <v>2.8</v>
      </c>
      <c r="AB61" s="35">
        <v>2.5</v>
      </c>
      <c r="AC61" s="32">
        <f>O61-P61</f>
        <v>351.6</v>
      </c>
      <c r="AD61" s="16">
        <f>Q61-C61</f>
        <v>199.29999999999998</v>
      </c>
      <c r="AF61" s="17"/>
    </row>
    <row r="62" spans="1:32" ht="16.5" customHeight="1">
      <c r="A62" s="118"/>
      <c r="B62" s="39" t="s">
        <v>35</v>
      </c>
      <c r="C62" s="40">
        <f aca="true" t="shared" si="13" ref="C62:AA62">C61/C60%</f>
        <v>54.49838187702266</v>
      </c>
      <c r="D62" s="36">
        <f t="shared" si="13"/>
        <v>58.46473029045643</v>
      </c>
      <c r="E62" s="36">
        <f t="shared" si="13"/>
        <v>62.54545454545454</v>
      </c>
      <c r="F62" s="36">
        <f t="shared" si="13"/>
        <v>40.44117647058823</v>
      </c>
      <c r="G62" s="36">
        <f t="shared" si="13"/>
        <v>93.76525630593977</v>
      </c>
      <c r="H62" s="36"/>
      <c r="I62" s="36">
        <f t="shared" si="13"/>
        <v>75.35211267605634</v>
      </c>
      <c r="J62" s="36">
        <f t="shared" si="13"/>
        <v>96.8344053474587</v>
      </c>
      <c r="K62" s="36"/>
      <c r="L62" s="36">
        <f t="shared" si="13"/>
        <v>80.55555555555554</v>
      </c>
      <c r="M62" s="36"/>
      <c r="N62" s="36">
        <f t="shared" si="13"/>
        <v>100</v>
      </c>
      <c r="O62" s="36">
        <f t="shared" si="13"/>
        <v>84.37548367125831</v>
      </c>
      <c r="P62" s="41">
        <f t="shared" si="13"/>
        <v>51.794979666245965</v>
      </c>
      <c r="Q62" s="42">
        <f t="shared" si="13"/>
        <v>79.93478260869566</v>
      </c>
      <c r="R62" s="36">
        <f t="shared" si="13"/>
        <v>34.856115107913666</v>
      </c>
      <c r="S62" s="36"/>
      <c r="T62" s="36">
        <f t="shared" si="13"/>
        <v>75</v>
      </c>
      <c r="U62" s="36">
        <f t="shared" si="13"/>
        <v>53.54691075514873</v>
      </c>
      <c r="V62" s="36"/>
      <c r="W62" s="36"/>
      <c r="X62" s="36"/>
      <c r="Y62" s="36"/>
      <c r="Z62" s="36"/>
      <c r="AA62" s="36">
        <f t="shared" si="13"/>
        <v>79.99999999999999</v>
      </c>
      <c r="AB62" s="36"/>
      <c r="AC62" s="43">
        <f>AC61/C61*100</f>
        <v>208.78859857482186</v>
      </c>
      <c r="AD62" s="36" t="e">
        <f>AD61/AD60*100</f>
        <v>#DIV/0!</v>
      </c>
      <c r="AE62" s="36" t="e">
        <f>AE61/AE60*100</f>
        <v>#DIV/0!</v>
      </c>
      <c r="AF62" s="36" t="e">
        <f>AF61/AF60*100</f>
        <v>#DIV/0!</v>
      </c>
    </row>
    <row r="63" spans="1:29" s="27" customFormat="1" ht="24" customHeight="1" hidden="1">
      <c r="A63" s="116" t="s">
        <v>49</v>
      </c>
      <c r="B63" s="19" t="s">
        <v>32</v>
      </c>
      <c r="C63" s="20">
        <f>D63+F63</f>
        <v>404</v>
      </c>
      <c r="D63" s="21">
        <v>114</v>
      </c>
      <c r="E63" s="22">
        <v>30</v>
      </c>
      <c r="F63" s="22">
        <v>290</v>
      </c>
      <c r="G63" s="23">
        <f>SUM(H63:N63)</f>
        <v>121</v>
      </c>
      <c r="H63" s="23"/>
      <c r="I63" s="24">
        <v>75</v>
      </c>
      <c r="J63" s="24"/>
      <c r="K63" s="24"/>
      <c r="L63" s="24">
        <v>1.9</v>
      </c>
      <c r="M63" s="24">
        <v>0.5</v>
      </c>
      <c r="N63" s="24">
        <v>43.6</v>
      </c>
      <c r="O63" s="23">
        <f>C63+G63</f>
        <v>525</v>
      </c>
      <c r="P63" s="44">
        <f>SUM(Q63:AB63)</f>
        <v>565.4000000000001</v>
      </c>
      <c r="Q63" s="45">
        <f>494.8-1.9</f>
        <v>492.90000000000003</v>
      </c>
      <c r="R63" s="24">
        <v>27</v>
      </c>
      <c r="S63" s="24"/>
      <c r="T63" s="24">
        <v>1.9</v>
      </c>
      <c r="U63" s="24">
        <v>43.6</v>
      </c>
      <c r="V63" s="24"/>
      <c r="W63" s="24"/>
      <c r="X63" s="24"/>
      <c r="Y63" s="24"/>
      <c r="Z63" s="24"/>
      <c r="AA63" s="24"/>
      <c r="AB63" s="24"/>
      <c r="AC63" s="24">
        <f>O63-P63</f>
        <v>-40.40000000000009</v>
      </c>
    </row>
    <row r="64" spans="1:32" ht="24" customHeight="1">
      <c r="A64" s="117"/>
      <c r="B64" s="28" t="s">
        <v>33</v>
      </c>
      <c r="C64" s="20">
        <f>D64+F64</f>
        <v>404.8</v>
      </c>
      <c r="D64" s="21">
        <v>113.3</v>
      </c>
      <c r="E64" s="22">
        <v>26.5</v>
      </c>
      <c r="F64" s="22">
        <v>291.5</v>
      </c>
      <c r="G64" s="23">
        <f>SUM(H64:N64)</f>
        <v>121</v>
      </c>
      <c r="H64" s="23"/>
      <c r="I64" s="24">
        <v>75</v>
      </c>
      <c r="J64" s="24"/>
      <c r="K64" s="24"/>
      <c r="L64" s="24">
        <v>1.9</v>
      </c>
      <c r="M64" s="24">
        <v>0.5</v>
      </c>
      <c r="N64" s="24">
        <v>43.6</v>
      </c>
      <c r="O64" s="23">
        <f>C64+G64</f>
        <v>525.8</v>
      </c>
      <c r="P64" s="30">
        <f>SUM(Q64:AB64)</f>
        <v>651.1</v>
      </c>
      <c r="Q64" s="31">
        <v>568.5</v>
      </c>
      <c r="R64" s="32">
        <f>6+11.95+6+3</f>
        <v>26.95</v>
      </c>
      <c r="S64" s="32"/>
      <c r="T64" s="32">
        <v>1.9</v>
      </c>
      <c r="U64" s="32">
        <v>43.6</v>
      </c>
      <c r="V64" s="32"/>
      <c r="W64" s="32">
        <v>10.15</v>
      </c>
      <c r="X64" s="32"/>
      <c r="Y64" s="32"/>
      <c r="Z64" s="32"/>
      <c r="AA64" s="32"/>
      <c r="AB64" s="32"/>
      <c r="AC64" s="32">
        <f>O64-P64</f>
        <v>-125.30000000000007</v>
      </c>
      <c r="AF64" s="17"/>
    </row>
    <row r="65" spans="1:32" ht="24" customHeight="1">
      <c r="A65" s="117"/>
      <c r="B65" s="33" t="s">
        <v>34</v>
      </c>
      <c r="C65" s="34">
        <f>D65+F65</f>
        <v>104.2</v>
      </c>
      <c r="D65" s="35">
        <v>55.1</v>
      </c>
      <c r="E65" s="36">
        <v>13.4</v>
      </c>
      <c r="F65" s="36">
        <v>49.1</v>
      </c>
      <c r="G65" s="29">
        <f>SUM(H65:N65)</f>
        <v>101.29074</v>
      </c>
      <c r="H65" s="37"/>
      <c r="I65" s="37">
        <v>56.9</v>
      </c>
      <c r="J65" s="37"/>
      <c r="K65" s="37"/>
      <c r="L65" s="37">
        <v>0.54074</v>
      </c>
      <c r="M65" s="37">
        <v>0.25</v>
      </c>
      <c r="N65" s="37">
        <v>43.6</v>
      </c>
      <c r="O65" s="29">
        <f>C65+G65</f>
        <v>205.49074000000002</v>
      </c>
      <c r="P65" s="30">
        <f>SUM(Q65:AB65)</f>
        <v>389.10439</v>
      </c>
      <c r="Q65" s="31">
        <v>342.3</v>
      </c>
      <c r="R65" s="32">
        <v>5.3</v>
      </c>
      <c r="S65" s="32"/>
      <c r="T65" s="32">
        <v>0.5</v>
      </c>
      <c r="U65" s="32">
        <v>30.9</v>
      </c>
      <c r="V65" s="32"/>
      <c r="W65" s="32">
        <v>10.10439</v>
      </c>
      <c r="X65" s="32"/>
      <c r="Y65" s="32"/>
      <c r="Z65" s="32"/>
      <c r="AA65" s="32"/>
      <c r="AB65" s="32"/>
      <c r="AC65" s="32">
        <f>O65-P65</f>
        <v>-183.61365</v>
      </c>
      <c r="AD65" s="16">
        <f>Q65-C65</f>
        <v>238.10000000000002</v>
      </c>
      <c r="AF65" s="17"/>
    </row>
    <row r="66" spans="1:32" ht="18" customHeight="1">
      <c r="A66" s="118"/>
      <c r="B66" s="39" t="s">
        <v>35</v>
      </c>
      <c r="C66" s="40">
        <f aca="true" t="shared" si="14" ref="C66:O66">C65/C64%</f>
        <v>25.74110671936759</v>
      </c>
      <c r="D66" s="36">
        <f t="shared" si="14"/>
        <v>48.63195057369815</v>
      </c>
      <c r="E66" s="36">
        <f t="shared" si="14"/>
        <v>50.56603773584906</v>
      </c>
      <c r="F66" s="36">
        <f t="shared" si="14"/>
        <v>16.843910806174957</v>
      </c>
      <c r="G66" s="36">
        <f t="shared" si="14"/>
        <v>83.71135537190082</v>
      </c>
      <c r="H66" s="36"/>
      <c r="I66" s="36">
        <f t="shared" si="14"/>
        <v>75.86666666666666</v>
      </c>
      <c r="J66" s="36"/>
      <c r="K66" s="36"/>
      <c r="L66" s="36">
        <f t="shared" si="14"/>
        <v>28.46</v>
      </c>
      <c r="M66" s="36"/>
      <c r="N66" s="36">
        <f t="shared" si="14"/>
        <v>100</v>
      </c>
      <c r="O66" s="36">
        <f t="shared" si="14"/>
        <v>39.081540509699515</v>
      </c>
      <c r="P66" s="41">
        <f>P65/P64%</f>
        <v>59.76107971125787</v>
      </c>
      <c r="Q66" s="42">
        <f>Q65/Q64%</f>
        <v>60.21108179419526</v>
      </c>
      <c r="R66" s="36">
        <f>R65/R64%</f>
        <v>19.666048237476808</v>
      </c>
      <c r="S66" s="36"/>
      <c r="T66" s="36">
        <f>T65/T64%</f>
        <v>26.315789473684212</v>
      </c>
      <c r="U66" s="36">
        <f>U65/U64%</f>
        <v>70.87155963302752</v>
      </c>
      <c r="V66" s="36"/>
      <c r="W66" s="36"/>
      <c r="X66" s="36"/>
      <c r="Y66" s="36"/>
      <c r="Z66" s="36"/>
      <c r="AA66" s="36"/>
      <c r="AB66" s="36"/>
      <c r="AC66" s="43">
        <f>AC65/C65*100</f>
        <v>-176.2127159309021</v>
      </c>
      <c r="AD66" s="36" t="e">
        <f>AD65/AD64*100</f>
        <v>#DIV/0!</v>
      </c>
      <c r="AE66" s="36" t="e">
        <f>AE65/AE64*100</f>
        <v>#DIV/0!</v>
      </c>
      <c r="AF66" s="36" t="e">
        <f>AF65/AF64*100</f>
        <v>#DIV/0!</v>
      </c>
    </row>
    <row r="67" spans="1:29" s="27" customFormat="1" ht="24" customHeight="1" hidden="1">
      <c r="A67" s="116" t="s">
        <v>50</v>
      </c>
      <c r="B67" s="19" t="s">
        <v>32</v>
      </c>
      <c r="C67" s="20">
        <f>D67+F67</f>
        <v>610</v>
      </c>
      <c r="D67" s="21">
        <v>77</v>
      </c>
      <c r="E67" s="22">
        <v>10</v>
      </c>
      <c r="F67" s="22">
        <v>533</v>
      </c>
      <c r="G67" s="23">
        <f>SUM(H67:N67)</f>
        <v>62.1</v>
      </c>
      <c r="H67" s="23"/>
      <c r="I67" s="24">
        <v>18</v>
      </c>
      <c r="J67" s="24"/>
      <c r="K67" s="24"/>
      <c r="L67" s="24">
        <v>0.4</v>
      </c>
      <c r="M67" s="24">
        <v>0.1</v>
      </c>
      <c r="N67" s="24">
        <v>43.6</v>
      </c>
      <c r="O67" s="23">
        <f>C67+G67</f>
        <v>672.1</v>
      </c>
      <c r="P67" s="44">
        <f>SUM(Q67:AB67)</f>
        <v>672.1</v>
      </c>
      <c r="Q67" s="45">
        <f>610.5-0.4</f>
        <v>610.1</v>
      </c>
      <c r="R67" s="24">
        <v>18</v>
      </c>
      <c r="S67" s="24"/>
      <c r="T67" s="24">
        <v>0.4</v>
      </c>
      <c r="U67" s="24">
        <v>43.6</v>
      </c>
      <c r="V67" s="24"/>
      <c r="W67" s="24"/>
      <c r="X67" s="24"/>
      <c r="Y67" s="24"/>
      <c r="Z67" s="24"/>
      <c r="AA67" s="24"/>
      <c r="AB67" s="24"/>
      <c r="AC67" s="24">
        <f>O67-P67</f>
        <v>0</v>
      </c>
    </row>
    <row r="68" spans="1:32" ht="24" customHeight="1">
      <c r="A68" s="117"/>
      <c r="B68" s="28" t="s">
        <v>33</v>
      </c>
      <c r="C68" s="48">
        <f>D68+F68</f>
        <v>610</v>
      </c>
      <c r="D68" s="49">
        <v>82.5</v>
      </c>
      <c r="E68" s="50">
        <v>10</v>
      </c>
      <c r="F68" s="50">
        <v>527.5</v>
      </c>
      <c r="G68" s="51">
        <f>SUM(H68:N68)</f>
        <v>62.1</v>
      </c>
      <c r="H68" s="51"/>
      <c r="I68" s="52">
        <v>18</v>
      </c>
      <c r="J68" s="52"/>
      <c r="K68" s="52"/>
      <c r="L68" s="52">
        <v>0.4</v>
      </c>
      <c r="M68" s="52">
        <v>0.1</v>
      </c>
      <c r="N68" s="52">
        <v>43.6</v>
      </c>
      <c r="O68" s="51">
        <f>C68+G68</f>
        <v>672.1</v>
      </c>
      <c r="P68" s="30">
        <f>SUM(Q68:AB68)</f>
        <v>672.0999999999999</v>
      </c>
      <c r="Q68" s="31">
        <f>582.3+12.8+15</f>
        <v>610.0999999999999</v>
      </c>
      <c r="R68" s="53">
        <f>18</f>
        <v>18</v>
      </c>
      <c r="S68" s="53"/>
      <c r="T68" s="53">
        <v>0.4</v>
      </c>
      <c r="U68" s="53">
        <v>43.6</v>
      </c>
      <c r="V68" s="53"/>
      <c r="W68" s="53"/>
      <c r="X68" s="53"/>
      <c r="Y68" s="53"/>
      <c r="Z68" s="53"/>
      <c r="AA68" s="53"/>
      <c r="AB68" s="53"/>
      <c r="AC68" s="53">
        <f>O68-P68</f>
        <v>0</v>
      </c>
      <c r="AF68" s="17"/>
    </row>
    <row r="69" spans="1:32" ht="24" customHeight="1">
      <c r="A69" s="117"/>
      <c r="B69" s="33" t="s">
        <v>34</v>
      </c>
      <c r="C69" s="54">
        <f>D69+F69</f>
        <v>46.099999999999994</v>
      </c>
      <c r="D69" s="55">
        <v>16.9</v>
      </c>
      <c r="E69" s="56">
        <v>4</v>
      </c>
      <c r="F69" s="56">
        <v>29.2</v>
      </c>
      <c r="G69" s="57">
        <f>SUM(H69:N69)</f>
        <v>57.45</v>
      </c>
      <c r="H69" s="58"/>
      <c r="I69" s="58">
        <v>13.8</v>
      </c>
      <c r="J69" s="58"/>
      <c r="K69" s="58"/>
      <c r="L69" s="58"/>
      <c r="M69" s="58">
        <v>0.05</v>
      </c>
      <c r="N69" s="58">
        <v>43.6</v>
      </c>
      <c r="O69" s="57">
        <f>C69+G69</f>
        <v>103.55</v>
      </c>
      <c r="P69" s="30">
        <f>SUM(Q69:AB69)</f>
        <v>275.4</v>
      </c>
      <c r="Q69" s="31">
        <v>259.9</v>
      </c>
      <c r="R69" s="53"/>
      <c r="S69" s="53"/>
      <c r="T69" s="53"/>
      <c r="U69" s="53">
        <v>15.5</v>
      </c>
      <c r="V69" s="53"/>
      <c r="W69" s="53"/>
      <c r="X69" s="53"/>
      <c r="Y69" s="53"/>
      <c r="Z69" s="53"/>
      <c r="AA69" s="53"/>
      <c r="AB69" s="53"/>
      <c r="AC69" s="53">
        <f>O69-P69</f>
        <v>-171.84999999999997</v>
      </c>
      <c r="AD69" s="16">
        <f>Q69-C69</f>
        <v>213.79999999999998</v>
      </c>
      <c r="AF69" s="17"/>
    </row>
    <row r="70" spans="1:32" ht="18" customHeight="1">
      <c r="A70" s="118"/>
      <c r="B70" s="39" t="s">
        <v>35</v>
      </c>
      <c r="C70" s="59">
        <f aca="true" t="shared" si="15" ref="C70:O70">C69/C68%</f>
        <v>7.557377049180327</v>
      </c>
      <c r="D70" s="56">
        <f t="shared" si="15"/>
        <v>20.484848484848484</v>
      </c>
      <c r="E70" s="56">
        <f t="shared" si="15"/>
        <v>40</v>
      </c>
      <c r="F70" s="56">
        <f t="shared" si="15"/>
        <v>5.535545023696682</v>
      </c>
      <c r="G70" s="56">
        <f t="shared" si="15"/>
        <v>92.512077294686</v>
      </c>
      <c r="H70" s="56"/>
      <c r="I70" s="56">
        <f t="shared" si="15"/>
        <v>76.66666666666667</v>
      </c>
      <c r="J70" s="56"/>
      <c r="K70" s="56"/>
      <c r="L70" s="56">
        <f t="shared" si="15"/>
        <v>0</v>
      </c>
      <c r="M70" s="56"/>
      <c r="N70" s="56">
        <f t="shared" si="15"/>
        <v>100</v>
      </c>
      <c r="O70" s="56">
        <f t="shared" si="15"/>
        <v>15.406933492039874</v>
      </c>
      <c r="P70" s="41">
        <f>P69/P68%</f>
        <v>40.97604523136438</v>
      </c>
      <c r="Q70" s="42">
        <f>Q69/Q68%</f>
        <v>42.59957384035404</v>
      </c>
      <c r="R70" s="56">
        <f>R69/R68%</f>
        <v>0</v>
      </c>
      <c r="S70" s="56"/>
      <c r="T70" s="56">
        <f>T69/T68%</f>
        <v>0</v>
      </c>
      <c r="U70" s="56">
        <f>U69/U68%</f>
        <v>35.55045871559633</v>
      </c>
      <c r="V70" s="56"/>
      <c r="W70" s="56"/>
      <c r="X70" s="56"/>
      <c r="Y70" s="56"/>
      <c r="Z70" s="56"/>
      <c r="AA70" s="56"/>
      <c r="AB70" s="56"/>
      <c r="AC70" s="43">
        <f>AC69/C69*100</f>
        <v>-372.77657266811275</v>
      </c>
      <c r="AD70" s="36" t="e">
        <f>AD69/AD68*100</f>
        <v>#DIV/0!</v>
      </c>
      <c r="AE70" s="36" t="e">
        <f>AE69/AE68*100</f>
        <v>#DIV/0!</v>
      </c>
      <c r="AF70" s="36" t="e">
        <f>AF69/AF68*100</f>
        <v>#DIV/0!</v>
      </c>
    </row>
    <row r="71" spans="1:29" s="27" customFormat="1" ht="24" customHeight="1" hidden="1">
      <c r="A71" s="116" t="s">
        <v>51</v>
      </c>
      <c r="B71" s="19" t="s">
        <v>32</v>
      </c>
      <c r="C71" s="48">
        <f>D71+F71</f>
        <v>780</v>
      </c>
      <c r="D71" s="49">
        <v>483</v>
      </c>
      <c r="E71" s="50">
        <v>20</v>
      </c>
      <c r="F71" s="50">
        <v>297</v>
      </c>
      <c r="G71" s="51">
        <f>SUM(H71:N71)</f>
        <v>116.9</v>
      </c>
      <c r="H71" s="51"/>
      <c r="I71" s="52">
        <v>71</v>
      </c>
      <c r="J71" s="52"/>
      <c r="K71" s="52"/>
      <c r="L71" s="52">
        <v>1.8</v>
      </c>
      <c r="M71" s="52">
        <v>0.5</v>
      </c>
      <c r="N71" s="52">
        <v>43.6</v>
      </c>
      <c r="O71" s="51">
        <f>C71+G71</f>
        <v>896.9</v>
      </c>
      <c r="P71" s="44">
        <f>SUM(Q71:AB71)</f>
        <v>896.9</v>
      </c>
      <c r="Q71" s="45">
        <f>805.3-1.8</f>
        <v>803.5</v>
      </c>
      <c r="R71" s="52">
        <v>45</v>
      </c>
      <c r="S71" s="52"/>
      <c r="T71" s="52">
        <v>1.8</v>
      </c>
      <c r="U71" s="52">
        <v>43.6</v>
      </c>
      <c r="V71" s="52"/>
      <c r="W71" s="52"/>
      <c r="X71" s="52"/>
      <c r="Y71" s="52"/>
      <c r="Z71" s="52"/>
      <c r="AA71" s="52">
        <v>3</v>
      </c>
      <c r="AB71" s="52"/>
      <c r="AC71" s="52">
        <f>O71-P71</f>
        <v>0</v>
      </c>
    </row>
    <row r="72" spans="1:32" ht="24" customHeight="1">
      <c r="A72" s="117"/>
      <c r="B72" s="28" t="s">
        <v>33</v>
      </c>
      <c r="C72" s="48">
        <f>D72+F72</f>
        <v>780</v>
      </c>
      <c r="D72" s="49">
        <v>491</v>
      </c>
      <c r="E72" s="50">
        <v>25</v>
      </c>
      <c r="F72" s="50">
        <v>289</v>
      </c>
      <c r="G72" s="51">
        <f>SUM(H72:N72)</f>
        <v>116.9</v>
      </c>
      <c r="H72" s="51"/>
      <c r="I72" s="52">
        <v>71</v>
      </c>
      <c r="J72" s="52"/>
      <c r="K72" s="52"/>
      <c r="L72" s="52">
        <v>1.8</v>
      </c>
      <c r="M72" s="52">
        <v>0.5</v>
      </c>
      <c r="N72" s="52">
        <v>43.6</v>
      </c>
      <c r="O72" s="51">
        <f>C72+G72</f>
        <v>896.9</v>
      </c>
      <c r="P72" s="30">
        <f>SUM(Q72:AB72)</f>
        <v>896.9</v>
      </c>
      <c r="Q72" s="31">
        <v>806.8</v>
      </c>
      <c r="R72" s="53">
        <v>41.7</v>
      </c>
      <c r="S72" s="53"/>
      <c r="T72" s="53">
        <v>1.8</v>
      </c>
      <c r="U72" s="53">
        <v>43.6</v>
      </c>
      <c r="V72" s="53"/>
      <c r="W72" s="53"/>
      <c r="X72" s="53"/>
      <c r="Y72" s="53"/>
      <c r="Z72" s="53"/>
      <c r="AA72" s="53">
        <v>3</v>
      </c>
      <c r="AB72" s="53"/>
      <c r="AC72" s="53">
        <f>O72-P72</f>
        <v>0</v>
      </c>
      <c r="AF72" s="17"/>
    </row>
    <row r="73" spans="1:32" ht="24" customHeight="1">
      <c r="A73" s="117"/>
      <c r="B73" s="33" t="s">
        <v>34</v>
      </c>
      <c r="C73" s="54">
        <f>D73+F73</f>
        <v>64.5</v>
      </c>
      <c r="D73" s="55">
        <v>51.9</v>
      </c>
      <c r="E73" s="56">
        <v>24.5</v>
      </c>
      <c r="F73" s="56">
        <v>12.6</v>
      </c>
      <c r="G73" s="57">
        <f>SUM(H73:N73)</f>
        <v>98.65</v>
      </c>
      <c r="H73" s="58"/>
      <c r="I73" s="58">
        <v>54</v>
      </c>
      <c r="J73" s="58"/>
      <c r="K73" s="58"/>
      <c r="L73" s="58">
        <v>0.8</v>
      </c>
      <c r="M73" s="58">
        <v>0.25</v>
      </c>
      <c r="N73" s="58">
        <v>43.6</v>
      </c>
      <c r="O73" s="57">
        <f>C73+G73</f>
        <v>163.15</v>
      </c>
      <c r="P73" s="30">
        <f>SUM(Q73:AB73)</f>
        <v>487.6</v>
      </c>
      <c r="Q73" s="38">
        <v>459.7</v>
      </c>
      <c r="R73" s="55"/>
      <c r="S73" s="55"/>
      <c r="T73" s="53"/>
      <c r="U73" s="53">
        <v>26.1</v>
      </c>
      <c r="V73" s="55"/>
      <c r="W73" s="55"/>
      <c r="X73" s="55"/>
      <c r="Y73" s="55"/>
      <c r="Z73" s="55"/>
      <c r="AA73" s="55">
        <v>1.8</v>
      </c>
      <c r="AB73" s="55"/>
      <c r="AC73" s="53">
        <f>O73-P73</f>
        <v>-324.45000000000005</v>
      </c>
      <c r="AD73" s="16">
        <f>Q73-C73</f>
        <v>395.2</v>
      </c>
      <c r="AF73" s="17"/>
    </row>
    <row r="74" spans="1:32" ht="18" customHeight="1">
      <c r="A74" s="118"/>
      <c r="B74" s="39" t="s">
        <v>35</v>
      </c>
      <c r="C74" s="59">
        <f aca="true" t="shared" si="16" ref="C74:AA74">C73/C72%</f>
        <v>8.26923076923077</v>
      </c>
      <c r="D74" s="56">
        <f t="shared" si="16"/>
        <v>10.570264765784113</v>
      </c>
      <c r="E74" s="56">
        <f t="shared" si="16"/>
        <v>98</v>
      </c>
      <c r="F74" s="56">
        <f t="shared" si="16"/>
        <v>4.359861591695501</v>
      </c>
      <c r="G74" s="56">
        <f t="shared" si="16"/>
        <v>84.38836612489307</v>
      </c>
      <c r="H74" s="56"/>
      <c r="I74" s="56">
        <f t="shared" si="16"/>
        <v>76.05633802816902</v>
      </c>
      <c r="J74" s="56"/>
      <c r="K74" s="56"/>
      <c r="L74" s="56">
        <f t="shared" si="16"/>
        <v>44.44444444444444</v>
      </c>
      <c r="M74" s="56"/>
      <c r="N74" s="56">
        <f t="shared" si="16"/>
        <v>100</v>
      </c>
      <c r="O74" s="56">
        <f t="shared" si="16"/>
        <v>18.19043371613335</v>
      </c>
      <c r="P74" s="41">
        <f t="shared" si="16"/>
        <v>54.365035120972244</v>
      </c>
      <c r="Q74" s="42">
        <f t="shared" si="16"/>
        <v>56.978185423896875</v>
      </c>
      <c r="R74" s="56">
        <f t="shared" si="16"/>
        <v>0</v>
      </c>
      <c r="S74" s="56"/>
      <c r="T74" s="56">
        <f t="shared" si="16"/>
        <v>0</v>
      </c>
      <c r="U74" s="56">
        <f t="shared" si="16"/>
        <v>59.86238532110092</v>
      </c>
      <c r="V74" s="56"/>
      <c r="W74" s="56"/>
      <c r="X74" s="56"/>
      <c r="Y74" s="56"/>
      <c r="Z74" s="56"/>
      <c r="AA74" s="56">
        <f t="shared" si="16"/>
        <v>60.00000000000001</v>
      </c>
      <c r="AB74" s="56"/>
      <c r="AC74" s="43">
        <f>AC73/C73*100</f>
        <v>-503.02325581395354</v>
      </c>
      <c r="AD74" s="36" t="e">
        <f>AD73/AD72*100</f>
        <v>#DIV/0!</v>
      </c>
      <c r="AE74" s="36" t="e">
        <f>AE73/AE72*100</f>
        <v>#DIV/0!</v>
      </c>
      <c r="AF74" s="36" t="e">
        <f>AF73/AF72*100</f>
        <v>#DIV/0!</v>
      </c>
    </row>
    <row r="75" spans="1:29" s="27" customFormat="1" ht="24" customHeight="1" hidden="1">
      <c r="A75" s="116" t="s">
        <v>52</v>
      </c>
      <c r="B75" s="19" t="s">
        <v>32</v>
      </c>
      <c r="C75" s="48">
        <f>D75+F75</f>
        <v>772</v>
      </c>
      <c r="D75" s="49">
        <v>355</v>
      </c>
      <c r="E75" s="50">
        <v>340</v>
      </c>
      <c r="F75" s="50">
        <v>417</v>
      </c>
      <c r="G75" s="51">
        <f>SUM(H75:N75)</f>
        <v>259.5</v>
      </c>
      <c r="H75" s="51"/>
      <c r="I75" s="52">
        <v>209</v>
      </c>
      <c r="J75" s="52"/>
      <c r="K75" s="52"/>
      <c r="L75" s="52">
        <v>5.4</v>
      </c>
      <c r="M75" s="52">
        <v>1.4</v>
      </c>
      <c r="N75" s="52">
        <v>43.7</v>
      </c>
      <c r="O75" s="51">
        <f>C75+G75</f>
        <v>1031.5</v>
      </c>
      <c r="P75" s="44">
        <f>SUM(Q75:AB75)</f>
        <v>1108.7</v>
      </c>
      <c r="Q75" s="45">
        <f>1008-5.4</f>
        <v>1002.6</v>
      </c>
      <c r="R75" s="52">
        <v>32</v>
      </c>
      <c r="S75" s="52"/>
      <c r="T75" s="52">
        <v>5.4</v>
      </c>
      <c r="U75" s="52">
        <v>43.7</v>
      </c>
      <c r="V75" s="52"/>
      <c r="W75" s="52"/>
      <c r="X75" s="52"/>
      <c r="Y75" s="52"/>
      <c r="Z75" s="52"/>
      <c r="AA75" s="52">
        <v>25</v>
      </c>
      <c r="AB75" s="52"/>
      <c r="AC75" s="52">
        <f>O75-P75</f>
        <v>-77.20000000000005</v>
      </c>
    </row>
    <row r="76" spans="1:32" ht="24" customHeight="1">
      <c r="A76" s="117"/>
      <c r="B76" s="28" t="s">
        <v>33</v>
      </c>
      <c r="C76" s="48">
        <f>D76+F76</f>
        <v>772.1</v>
      </c>
      <c r="D76" s="49">
        <v>395.6</v>
      </c>
      <c r="E76" s="50">
        <v>340.1</v>
      </c>
      <c r="F76" s="50">
        <v>376.5</v>
      </c>
      <c r="G76" s="51">
        <f>SUM(H76:N76)</f>
        <v>5424.499999999999</v>
      </c>
      <c r="H76" s="51"/>
      <c r="I76" s="52">
        <v>209</v>
      </c>
      <c r="J76" s="52">
        <v>5165</v>
      </c>
      <c r="K76" s="52"/>
      <c r="L76" s="52">
        <v>5.4</v>
      </c>
      <c r="M76" s="52">
        <v>1.4</v>
      </c>
      <c r="N76" s="52">
        <v>43.7</v>
      </c>
      <c r="O76" s="51">
        <f>C76+G76</f>
        <v>6196.599999999999</v>
      </c>
      <c r="P76" s="30">
        <f>SUM(Q76:AB76)</f>
        <v>6329.9</v>
      </c>
      <c r="Q76" s="45">
        <v>1015.6</v>
      </c>
      <c r="R76" s="52">
        <v>95.2</v>
      </c>
      <c r="S76" s="52"/>
      <c r="T76" s="52">
        <v>5.4</v>
      </c>
      <c r="U76" s="52">
        <v>43.7</v>
      </c>
      <c r="V76" s="52"/>
      <c r="W76" s="52"/>
      <c r="X76" s="52"/>
      <c r="Y76" s="52"/>
      <c r="Z76" s="52"/>
      <c r="AA76" s="52">
        <v>5</v>
      </c>
      <c r="AB76" s="52">
        <v>5165</v>
      </c>
      <c r="AC76" s="53">
        <f>O76-P76</f>
        <v>-133.30000000000018</v>
      </c>
      <c r="AF76" s="17"/>
    </row>
    <row r="77" spans="1:32" ht="24" customHeight="1">
      <c r="A77" s="117"/>
      <c r="B77" s="33" t="s">
        <v>34</v>
      </c>
      <c r="C77" s="54">
        <f>D77+F77</f>
        <v>212.7</v>
      </c>
      <c r="D77" s="55">
        <v>98.2</v>
      </c>
      <c r="E77" s="56">
        <v>50.1</v>
      </c>
      <c r="F77" s="56">
        <v>114.5</v>
      </c>
      <c r="G77" s="57">
        <f>SUM(H77:N77)</f>
        <v>205.8</v>
      </c>
      <c r="H77" s="58"/>
      <c r="I77" s="58">
        <v>156.9</v>
      </c>
      <c r="J77" s="58"/>
      <c r="K77" s="58"/>
      <c r="L77" s="58">
        <v>4.5</v>
      </c>
      <c r="M77" s="58">
        <v>0.7</v>
      </c>
      <c r="N77" s="58">
        <v>43.7</v>
      </c>
      <c r="O77" s="57">
        <f>C77+G77</f>
        <v>418.5</v>
      </c>
      <c r="P77" s="30">
        <f>SUM(Q77:AB77)</f>
        <v>800.5500000000001</v>
      </c>
      <c r="Q77" s="31">
        <v>706.2</v>
      </c>
      <c r="R77" s="53">
        <v>65.7</v>
      </c>
      <c r="S77" s="53"/>
      <c r="T77" s="52"/>
      <c r="U77" s="52">
        <v>26.65</v>
      </c>
      <c r="V77" s="53"/>
      <c r="W77" s="53"/>
      <c r="X77" s="53"/>
      <c r="Y77" s="53"/>
      <c r="Z77" s="53"/>
      <c r="AA77" s="53">
        <v>2</v>
      </c>
      <c r="AB77" s="53"/>
      <c r="AC77" s="60">
        <f>O77-P77</f>
        <v>-382.05000000000007</v>
      </c>
      <c r="AD77" s="16">
        <f>Q77-C77</f>
        <v>493.50000000000006</v>
      </c>
      <c r="AF77" s="17"/>
    </row>
    <row r="78" spans="1:32" ht="18" customHeight="1">
      <c r="A78" s="118"/>
      <c r="B78" s="39" t="s">
        <v>35</v>
      </c>
      <c r="C78" s="59">
        <f aca="true" t="shared" si="17" ref="C78:AA78">C77/C76%</f>
        <v>27.548245045978497</v>
      </c>
      <c r="D78" s="56">
        <f t="shared" si="17"/>
        <v>24.823053589484324</v>
      </c>
      <c r="E78" s="56">
        <f t="shared" si="17"/>
        <v>14.730961481917083</v>
      </c>
      <c r="F78" s="56">
        <f t="shared" si="17"/>
        <v>30.41168658698539</v>
      </c>
      <c r="G78" s="56">
        <f t="shared" si="17"/>
        <v>3.7938980551202883</v>
      </c>
      <c r="H78" s="56"/>
      <c r="I78" s="56">
        <f t="shared" si="17"/>
        <v>75.07177033492823</v>
      </c>
      <c r="J78" s="56"/>
      <c r="K78" s="56"/>
      <c r="L78" s="56">
        <f t="shared" si="17"/>
        <v>83.33333333333333</v>
      </c>
      <c r="M78" s="56">
        <f t="shared" si="17"/>
        <v>50</v>
      </c>
      <c r="N78" s="56">
        <f t="shared" si="17"/>
        <v>100</v>
      </c>
      <c r="O78" s="56">
        <f t="shared" si="17"/>
        <v>6.753703643933771</v>
      </c>
      <c r="P78" s="41">
        <f t="shared" si="17"/>
        <v>12.64711922779191</v>
      </c>
      <c r="Q78" s="42">
        <f t="shared" si="17"/>
        <v>69.53525009846396</v>
      </c>
      <c r="R78" s="56">
        <f t="shared" si="17"/>
        <v>69.0126050420168</v>
      </c>
      <c r="S78" s="56"/>
      <c r="T78" s="56">
        <f t="shared" si="17"/>
        <v>0</v>
      </c>
      <c r="U78" s="56">
        <f t="shared" si="17"/>
        <v>60.98398169336383</v>
      </c>
      <c r="V78" s="56"/>
      <c r="W78" s="56"/>
      <c r="X78" s="56"/>
      <c r="Y78" s="56"/>
      <c r="Z78" s="56"/>
      <c r="AA78" s="56">
        <f t="shared" si="17"/>
        <v>40</v>
      </c>
      <c r="AB78" s="56"/>
      <c r="AC78" s="43">
        <f>AC77/C77*100</f>
        <v>-179.61918194640342</v>
      </c>
      <c r="AD78" s="36" t="e">
        <f>AD77/AD76*100</f>
        <v>#DIV/0!</v>
      </c>
      <c r="AE78" s="36" t="e">
        <f>AE77/AE76*100</f>
        <v>#DIV/0!</v>
      </c>
      <c r="AF78" s="36" t="e">
        <f>AF77/AF76*100</f>
        <v>#DIV/0!</v>
      </c>
    </row>
    <row r="79" spans="1:29" s="27" customFormat="1" ht="24" customHeight="1" hidden="1">
      <c r="A79" s="116" t="s">
        <v>53</v>
      </c>
      <c r="B79" s="19" t="s">
        <v>32</v>
      </c>
      <c r="C79" s="48">
        <f>D79+F79</f>
        <v>857</v>
      </c>
      <c r="D79" s="49">
        <v>350</v>
      </c>
      <c r="E79" s="50">
        <v>170</v>
      </c>
      <c r="F79" s="50">
        <v>507</v>
      </c>
      <c r="G79" s="51">
        <f>SUM(H79:N79)</f>
        <v>242</v>
      </c>
      <c r="H79" s="51"/>
      <c r="I79" s="52">
        <v>192</v>
      </c>
      <c r="J79" s="52"/>
      <c r="K79" s="52"/>
      <c r="L79" s="52">
        <v>5</v>
      </c>
      <c r="M79" s="52">
        <v>1.3</v>
      </c>
      <c r="N79" s="52">
        <v>43.7</v>
      </c>
      <c r="O79" s="51">
        <f>C79+G79</f>
        <v>1099</v>
      </c>
      <c r="P79" s="44">
        <f>SUM(Q79:AB79)</f>
        <v>1099</v>
      </c>
      <c r="Q79" s="45">
        <f>919.3-5</f>
        <v>914.3</v>
      </c>
      <c r="R79" s="52">
        <v>45</v>
      </c>
      <c r="S79" s="52"/>
      <c r="T79" s="52">
        <v>5</v>
      </c>
      <c r="U79" s="52">
        <v>43.7</v>
      </c>
      <c r="V79" s="52">
        <v>91</v>
      </c>
      <c r="W79" s="52"/>
      <c r="X79" s="52"/>
      <c r="Y79" s="52"/>
      <c r="Z79" s="52"/>
      <c r="AA79" s="52"/>
      <c r="AB79" s="52"/>
      <c r="AC79" s="52">
        <f>O79-P79</f>
        <v>0</v>
      </c>
    </row>
    <row r="80" spans="1:32" ht="24" customHeight="1">
      <c r="A80" s="117"/>
      <c r="B80" s="28" t="s">
        <v>33</v>
      </c>
      <c r="C80" s="48">
        <f>D80+F80</f>
        <v>857</v>
      </c>
      <c r="D80" s="49">
        <v>337</v>
      </c>
      <c r="E80" s="50">
        <v>160</v>
      </c>
      <c r="F80" s="50">
        <v>520</v>
      </c>
      <c r="G80" s="51">
        <f>SUM(H80:N80)</f>
        <v>312.7</v>
      </c>
      <c r="H80" s="51"/>
      <c r="I80" s="52">
        <v>192</v>
      </c>
      <c r="J80" s="52">
        <v>70.7</v>
      </c>
      <c r="K80" s="52"/>
      <c r="L80" s="52">
        <v>5</v>
      </c>
      <c r="M80" s="52">
        <v>1.3</v>
      </c>
      <c r="N80" s="52">
        <v>43.7</v>
      </c>
      <c r="O80" s="51">
        <f>C80+G80</f>
        <v>1169.7</v>
      </c>
      <c r="P80" s="30">
        <f>SUM(Q80:AB80)</f>
        <v>1169.7</v>
      </c>
      <c r="Q80" s="45">
        <v>870.6</v>
      </c>
      <c r="R80" s="52">
        <v>81.7</v>
      </c>
      <c r="S80" s="52"/>
      <c r="T80" s="52">
        <v>5</v>
      </c>
      <c r="U80" s="52">
        <v>43.7</v>
      </c>
      <c r="V80" s="52">
        <v>91</v>
      </c>
      <c r="W80" s="52"/>
      <c r="X80" s="52"/>
      <c r="Y80" s="52"/>
      <c r="Z80" s="52"/>
      <c r="AA80" s="52"/>
      <c r="AB80" s="52">
        <v>77.7</v>
      </c>
      <c r="AC80" s="53">
        <f>O80-P80</f>
        <v>0</v>
      </c>
      <c r="AF80" s="17"/>
    </row>
    <row r="81" spans="1:32" ht="24" customHeight="1">
      <c r="A81" s="117"/>
      <c r="B81" s="33" t="s">
        <v>34</v>
      </c>
      <c r="C81" s="54">
        <f>D81+F81</f>
        <v>325.9</v>
      </c>
      <c r="D81" s="55">
        <v>187.9</v>
      </c>
      <c r="E81" s="56">
        <v>104.7</v>
      </c>
      <c r="F81" s="56">
        <v>138</v>
      </c>
      <c r="G81" s="57">
        <f>SUM(H81:N81)</f>
        <v>191.55</v>
      </c>
      <c r="H81" s="58"/>
      <c r="I81" s="58">
        <v>144</v>
      </c>
      <c r="J81" s="58"/>
      <c r="K81" s="58"/>
      <c r="L81" s="58">
        <v>3.2</v>
      </c>
      <c r="M81" s="58">
        <v>0.65</v>
      </c>
      <c r="N81" s="58">
        <v>43.7</v>
      </c>
      <c r="O81" s="57">
        <f>C81+G81</f>
        <v>517.45</v>
      </c>
      <c r="P81" s="30">
        <f>SUM(Q81:AB81)</f>
        <v>643.1</v>
      </c>
      <c r="Q81" s="31">
        <v>491.2</v>
      </c>
      <c r="R81" s="53">
        <v>68.1</v>
      </c>
      <c r="S81" s="53"/>
      <c r="T81" s="52">
        <v>3.2</v>
      </c>
      <c r="U81" s="52">
        <v>29.9</v>
      </c>
      <c r="V81" s="53">
        <v>43.7</v>
      </c>
      <c r="W81" s="53"/>
      <c r="X81" s="53"/>
      <c r="Y81" s="53"/>
      <c r="Z81" s="53"/>
      <c r="AA81" s="53"/>
      <c r="AB81" s="53">
        <v>7</v>
      </c>
      <c r="AC81" s="53">
        <f>O81-P81</f>
        <v>-125.64999999999998</v>
      </c>
      <c r="AD81" s="16">
        <f>Q81-C81</f>
        <v>165.3</v>
      </c>
      <c r="AF81" s="17"/>
    </row>
    <row r="82" spans="1:32" ht="18.75" customHeight="1">
      <c r="A82" s="118"/>
      <c r="B82" s="39" t="s">
        <v>35</v>
      </c>
      <c r="C82" s="59">
        <f aca="true" t="shared" si="18" ref="C82:V82">C81/C80%</f>
        <v>38.02800466744457</v>
      </c>
      <c r="D82" s="56">
        <f t="shared" si="18"/>
        <v>55.7566765578635</v>
      </c>
      <c r="E82" s="56">
        <f t="shared" si="18"/>
        <v>65.4375</v>
      </c>
      <c r="F82" s="56">
        <f t="shared" si="18"/>
        <v>26.538461538461537</v>
      </c>
      <c r="G82" s="56">
        <f t="shared" si="18"/>
        <v>61.25679565078351</v>
      </c>
      <c r="H82" s="56"/>
      <c r="I82" s="56">
        <f t="shared" si="18"/>
        <v>75</v>
      </c>
      <c r="J82" s="56"/>
      <c r="K82" s="56"/>
      <c r="L82" s="56">
        <f t="shared" si="18"/>
        <v>64</v>
      </c>
      <c r="M82" s="56">
        <f t="shared" si="18"/>
        <v>50</v>
      </c>
      <c r="N82" s="56">
        <f t="shared" si="18"/>
        <v>100</v>
      </c>
      <c r="O82" s="56">
        <f t="shared" si="18"/>
        <v>44.23783876207575</v>
      </c>
      <c r="P82" s="41">
        <f t="shared" si="18"/>
        <v>54.97990937847311</v>
      </c>
      <c r="Q82" s="42">
        <f t="shared" si="18"/>
        <v>56.420859177578684</v>
      </c>
      <c r="R82" s="56">
        <f t="shared" si="18"/>
        <v>83.35373317013463</v>
      </c>
      <c r="S82" s="56"/>
      <c r="T82" s="56">
        <f t="shared" si="18"/>
        <v>64</v>
      </c>
      <c r="U82" s="56">
        <f t="shared" si="18"/>
        <v>68.42105263157893</v>
      </c>
      <c r="V82" s="56">
        <f t="shared" si="18"/>
        <v>48.02197802197802</v>
      </c>
      <c r="W82" s="56"/>
      <c r="X82" s="56"/>
      <c r="Y82" s="56"/>
      <c r="Z82" s="56"/>
      <c r="AA82" s="56"/>
      <c r="AB82" s="56"/>
      <c r="AC82" s="43">
        <f>AC81/C81*100</f>
        <v>-38.55477140227063</v>
      </c>
      <c r="AD82" s="36" t="e">
        <f>AD81/AD80*100</f>
        <v>#DIV/0!</v>
      </c>
      <c r="AE82" s="36" t="e">
        <f>AE81/AE80*100</f>
        <v>#DIV/0!</v>
      </c>
      <c r="AF82" s="36" t="e">
        <f>AF81/AF80*100</f>
        <v>#DIV/0!</v>
      </c>
    </row>
    <row r="83" spans="1:29" s="27" customFormat="1" ht="24" customHeight="1" hidden="1">
      <c r="A83" s="116" t="s">
        <v>54</v>
      </c>
      <c r="B83" s="19" t="s">
        <v>32</v>
      </c>
      <c r="C83" s="48">
        <f>D83+F83</f>
        <v>2848</v>
      </c>
      <c r="D83" s="49">
        <v>2633</v>
      </c>
      <c r="E83" s="50">
        <v>1520</v>
      </c>
      <c r="F83" s="50">
        <v>215</v>
      </c>
      <c r="G83" s="51">
        <f>SUM(H83:N83)</f>
        <v>1905.4999999999998</v>
      </c>
      <c r="H83" s="51"/>
      <c r="I83" s="52">
        <v>1740</v>
      </c>
      <c r="J83" s="52"/>
      <c r="K83" s="52"/>
      <c r="L83" s="52">
        <v>44.6</v>
      </c>
      <c r="M83" s="52">
        <v>11.8</v>
      </c>
      <c r="N83" s="52">
        <v>109.1</v>
      </c>
      <c r="O83" s="51">
        <f>C83+G83</f>
        <v>4753.5</v>
      </c>
      <c r="P83" s="44">
        <f>SUM(Q83:AB83)</f>
        <v>5038.300000000001</v>
      </c>
      <c r="Q83" s="45">
        <f>3560.2-44.6</f>
        <v>3515.6</v>
      </c>
      <c r="R83" s="52">
        <v>180</v>
      </c>
      <c r="S83" s="52">
        <v>979</v>
      </c>
      <c r="T83" s="52">
        <v>44.6</v>
      </c>
      <c r="U83" s="52">
        <v>109.1</v>
      </c>
      <c r="V83" s="52"/>
      <c r="W83" s="52">
        <v>200</v>
      </c>
      <c r="X83" s="52"/>
      <c r="Y83" s="52"/>
      <c r="Z83" s="52"/>
      <c r="AA83" s="52">
        <v>10</v>
      </c>
      <c r="AB83" s="52"/>
      <c r="AC83" s="52">
        <f>O83-P83</f>
        <v>-284.8000000000011</v>
      </c>
    </row>
    <row r="84" spans="1:32" ht="24" customHeight="1">
      <c r="A84" s="117"/>
      <c r="B84" s="28" t="s">
        <v>33</v>
      </c>
      <c r="C84" s="48">
        <f>D84+F84</f>
        <v>3548.6</v>
      </c>
      <c r="D84" s="49">
        <v>2811.7</v>
      </c>
      <c r="E84" s="50">
        <v>1431.7</v>
      </c>
      <c r="F84" s="50">
        <v>736.9</v>
      </c>
      <c r="G84" s="51">
        <f>SUM(H84:N84)</f>
        <v>6186.900000000001</v>
      </c>
      <c r="H84" s="51"/>
      <c r="I84" s="52">
        <v>1740</v>
      </c>
      <c r="J84" s="52">
        <v>4281.4</v>
      </c>
      <c r="K84" s="52"/>
      <c r="L84" s="52">
        <v>44.6</v>
      </c>
      <c r="M84" s="52">
        <v>11.8</v>
      </c>
      <c r="N84" s="52">
        <v>109.1</v>
      </c>
      <c r="O84" s="51">
        <f>C84+G84</f>
        <v>9735.5</v>
      </c>
      <c r="P84" s="30">
        <f>SUM(Q84:AB84)</f>
        <v>28182.1</v>
      </c>
      <c r="Q84" s="31">
        <v>3341.4</v>
      </c>
      <c r="R84" s="53">
        <v>23305.5</v>
      </c>
      <c r="S84" s="53">
        <v>995</v>
      </c>
      <c r="T84" s="53">
        <v>44.6</v>
      </c>
      <c r="U84" s="53">
        <v>109.1</v>
      </c>
      <c r="V84" s="53"/>
      <c r="W84" s="53">
        <v>376.5</v>
      </c>
      <c r="X84" s="53"/>
      <c r="Y84" s="53"/>
      <c r="Z84" s="53"/>
      <c r="AA84" s="53">
        <v>10</v>
      </c>
      <c r="AB84" s="53"/>
      <c r="AC84" s="53">
        <f>O84-P84</f>
        <v>-18446.6</v>
      </c>
      <c r="AF84" s="17"/>
    </row>
    <row r="85" spans="1:32" ht="24" customHeight="1">
      <c r="A85" s="117"/>
      <c r="B85" s="33" t="s">
        <v>34</v>
      </c>
      <c r="C85" s="54">
        <f>D85+F85</f>
        <v>2765.9</v>
      </c>
      <c r="D85" s="55">
        <v>2155.8</v>
      </c>
      <c r="E85" s="56">
        <v>913.7</v>
      </c>
      <c r="F85" s="56">
        <v>610.1</v>
      </c>
      <c r="G85" s="57">
        <f>SUM(H85:N85)</f>
        <v>5713.599999999999</v>
      </c>
      <c r="H85" s="58"/>
      <c r="I85" s="58">
        <v>1301.4</v>
      </c>
      <c r="J85" s="58">
        <v>4281.4</v>
      </c>
      <c r="K85" s="58"/>
      <c r="L85" s="58">
        <v>15.8</v>
      </c>
      <c r="M85" s="58">
        <v>5.9</v>
      </c>
      <c r="N85" s="58">
        <v>109.1</v>
      </c>
      <c r="O85" s="57">
        <f>C85+G85</f>
        <v>8479.5</v>
      </c>
      <c r="P85" s="30">
        <f>SUM(Q85:AB85)</f>
        <v>22934.2</v>
      </c>
      <c r="Q85" s="31">
        <v>1750.4</v>
      </c>
      <c r="R85" s="53">
        <v>20135.7</v>
      </c>
      <c r="S85" s="53">
        <v>718.3</v>
      </c>
      <c r="T85" s="53">
        <v>15.8</v>
      </c>
      <c r="U85" s="53">
        <v>68.7</v>
      </c>
      <c r="V85" s="53"/>
      <c r="W85" s="53">
        <v>238.2</v>
      </c>
      <c r="X85" s="53"/>
      <c r="Y85" s="53"/>
      <c r="Z85" s="53"/>
      <c r="AA85" s="53">
        <v>7.1</v>
      </c>
      <c r="AB85" s="53"/>
      <c r="AC85" s="53">
        <f>O85-P85</f>
        <v>-14454.7</v>
      </c>
      <c r="AD85" s="16">
        <f>Q85-C85</f>
        <v>-1015.5</v>
      </c>
      <c r="AF85" s="17"/>
    </row>
    <row r="86" spans="1:32" ht="18.75" customHeight="1">
      <c r="A86" s="118"/>
      <c r="B86" s="39" t="s">
        <v>35</v>
      </c>
      <c r="C86" s="59">
        <f aca="true" t="shared" si="19" ref="C86:AA86">C85/C84%</f>
        <v>77.94341430423266</v>
      </c>
      <c r="D86" s="56">
        <f t="shared" si="19"/>
        <v>76.67247572642887</v>
      </c>
      <c r="E86" s="56">
        <f t="shared" si="19"/>
        <v>63.81923587343717</v>
      </c>
      <c r="F86" s="56">
        <f t="shared" si="19"/>
        <v>82.79278056724115</v>
      </c>
      <c r="G86" s="56">
        <f t="shared" si="19"/>
        <v>92.34996524915546</v>
      </c>
      <c r="H86" s="56"/>
      <c r="I86" s="56">
        <f t="shared" si="19"/>
        <v>74.79310344827587</v>
      </c>
      <c r="J86" s="36">
        <f t="shared" si="19"/>
        <v>100.00000000000001</v>
      </c>
      <c r="K86" s="56"/>
      <c r="L86" s="56">
        <f t="shared" si="19"/>
        <v>35.426008968609864</v>
      </c>
      <c r="M86" s="56">
        <f t="shared" si="19"/>
        <v>50</v>
      </c>
      <c r="N86" s="56">
        <f t="shared" si="19"/>
        <v>100</v>
      </c>
      <c r="O86" s="56">
        <f t="shared" si="19"/>
        <v>87.09876226182527</v>
      </c>
      <c r="P86" s="41">
        <f t="shared" si="19"/>
        <v>81.37860556878303</v>
      </c>
      <c r="Q86" s="42">
        <f t="shared" si="19"/>
        <v>52.38522774884779</v>
      </c>
      <c r="R86" s="56">
        <f t="shared" si="19"/>
        <v>86.3989187101757</v>
      </c>
      <c r="S86" s="56">
        <f t="shared" si="19"/>
        <v>72.19095477386935</v>
      </c>
      <c r="T86" s="56">
        <f t="shared" si="19"/>
        <v>35.426008968609864</v>
      </c>
      <c r="U86" s="56">
        <f t="shared" si="19"/>
        <v>62.96975252062329</v>
      </c>
      <c r="V86" s="56"/>
      <c r="W86" s="56">
        <f t="shared" si="19"/>
        <v>63.26693227091633</v>
      </c>
      <c r="X86" s="56"/>
      <c r="Y86" s="56"/>
      <c r="Z86" s="56"/>
      <c r="AA86" s="56">
        <f t="shared" si="19"/>
        <v>70.99999999999999</v>
      </c>
      <c r="AB86" s="56"/>
      <c r="AC86" s="43">
        <f>AC85/C85*100</f>
        <v>-522.6038540800463</v>
      </c>
      <c r="AD86" s="36" t="e">
        <f>AD85/AD84*100</f>
        <v>#DIV/0!</v>
      </c>
      <c r="AE86" s="36" t="e">
        <f>AE85/AE84*100</f>
        <v>#DIV/0!</v>
      </c>
      <c r="AF86" s="36" t="e">
        <f>AF85/AF84*100</f>
        <v>#DIV/0!</v>
      </c>
    </row>
    <row r="87" spans="1:29" s="27" customFormat="1" ht="24" customHeight="1" hidden="1">
      <c r="A87" s="119" t="s">
        <v>55</v>
      </c>
      <c r="B87" s="61" t="s">
        <v>32</v>
      </c>
      <c r="C87" s="48">
        <f>D87+F87</f>
        <v>48318</v>
      </c>
      <c r="D87" s="62">
        <f aca="true" t="shared" si="20" ref="D87:F89">D7+D11+D15+D19+D23+D27+D31+D35+D39+D43+D47+D51+D55+D59+D63+D67+D71+D75+D79+D83</f>
        <v>42333</v>
      </c>
      <c r="E87" s="62">
        <f t="shared" si="20"/>
        <v>6770</v>
      </c>
      <c r="F87" s="62">
        <f t="shared" si="20"/>
        <v>5985</v>
      </c>
      <c r="G87" s="63">
        <f>SUM(H87:N87)</f>
        <v>6137.1</v>
      </c>
      <c r="H87" s="62">
        <f aca="true" t="shared" si="21" ref="H87:N89">H7+H11+H15+H19+H23+H27+H31+H35+H39+H43+H47+H51+H55+H59+H63+H67+H71+H75+H79+H83</f>
        <v>0</v>
      </c>
      <c r="I87" s="62">
        <f t="shared" si="21"/>
        <v>4551</v>
      </c>
      <c r="J87" s="62"/>
      <c r="K87" s="62">
        <f t="shared" si="21"/>
        <v>500</v>
      </c>
      <c r="L87" s="62">
        <f>L7+L11+L15+L19+L23+L27+L31+L35+L39+L43+L48+L51+L55+L59+L63+L67+L71+L75+L79+L83</f>
        <v>116.79999999999998</v>
      </c>
      <c r="M87" s="62">
        <f>M7+M11+M15+M19+M23+M27+M31+M35+M39+M43+M48+M51+M55+M59+M63+M67+M71+M75+M79+M83</f>
        <v>30.7</v>
      </c>
      <c r="N87" s="62">
        <f>N7+N11+N15+N19+N23+N27+N31+N35+N39+N43+N48+N51+N55+N59+N63+N67+N71+N75+N79+N83</f>
        <v>938.6000000000004</v>
      </c>
      <c r="O87" s="63">
        <f>C87+G87</f>
        <v>54455.1</v>
      </c>
      <c r="P87" s="64">
        <f>SUM(Q87:AB87)</f>
        <v>55023.40000000001</v>
      </c>
      <c r="Q87" s="65">
        <f aca="true" t="shared" si="22" ref="Q87:AB89">Q7+Q11+Q15+Q19+Q23+Q27+Q31+Q35+Q39+Q43+Q47+Q51+Q55+Q59+Q63+Q67+Q71+Q75+Q79+Q83</f>
        <v>31347.8</v>
      </c>
      <c r="R87" s="62">
        <f t="shared" si="22"/>
        <v>5926.7</v>
      </c>
      <c r="S87" s="62">
        <f t="shared" si="22"/>
        <v>13359.4</v>
      </c>
      <c r="T87" s="62">
        <f t="shared" si="22"/>
        <v>116.79999999999998</v>
      </c>
      <c r="U87" s="62">
        <f t="shared" si="22"/>
        <v>938.6000000000004</v>
      </c>
      <c r="V87" s="62">
        <f t="shared" si="22"/>
        <v>229.5</v>
      </c>
      <c r="W87" s="62">
        <f t="shared" si="22"/>
        <v>1263.3000000000002</v>
      </c>
      <c r="X87" s="62"/>
      <c r="Y87" s="62">
        <f t="shared" si="22"/>
        <v>1541.3</v>
      </c>
      <c r="Z87" s="62">
        <f t="shared" si="22"/>
        <v>183</v>
      </c>
      <c r="AA87" s="62">
        <f>AA7+AA11+AA15+AA19+AA23+AA27+AA31+AA35+AA39+AA43+AA47+AA51+AA55+AA59+AA63+AA67+AA71+AA75+AA79+AA83</f>
        <v>117</v>
      </c>
      <c r="AB87" s="62">
        <f t="shared" si="22"/>
        <v>0</v>
      </c>
      <c r="AC87" s="66">
        <f>O87-P87</f>
        <v>-568.3000000000102</v>
      </c>
    </row>
    <row r="88" spans="1:32" ht="24" customHeight="1">
      <c r="A88" s="120"/>
      <c r="B88" s="67" t="s">
        <v>33</v>
      </c>
      <c r="C88" s="48">
        <f>D88+F88</f>
        <v>49608.7</v>
      </c>
      <c r="D88" s="62">
        <f>D8+D12+D16+D20+D24+D28+D32+D36+D40+D44+D48+D52+D56+D60+D64+D68+D72+D76+D80+D84</f>
        <v>42654.799999999996</v>
      </c>
      <c r="E88" s="62">
        <f>E8+E12+E16+E20+E24+E28+E32+E36+E40+E44+E48+E52+E56+E60+E64+E68+E72+E76+E80+E84</f>
        <v>6640.400000000001</v>
      </c>
      <c r="F88" s="62">
        <f t="shared" si="20"/>
        <v>6953.9</v>
      </c>
      <c r="G88" s="63">
        <f>SUM(H88:N88)</f>
        <v>18919.4</v>
      </c>
      <c r="H88" s="62">
        <f>H8+H12+H16+H20+H24+H28+H32+H36+H40+H44+H48+H52+H56+H60+H64+H68+H72+H76+H80+H84</f>
        <v>0</v>
      </c>
      <c r="I88" s="62">
        <f t="shared" si="21"/>
        <v>4205</v>
      </c>
      <c r="J88" s="62">
        <f>J8+J12+J16+J20+J24+J28+J32+J36+J40+J44+J48+J52+J56+J60+J64+J68+J72+J76+J80+J84</f>
        <v>13128.300000000001</v>
      </c>
      <c r="K88" s="62">
        <f t="shared" si="21"/>
        <v>500</v>
      </c>
      <c r="L88" s="62">
        <f t="shared" si="21"/>
        <v>116.79999999999998</v>
      </c>
      <c r="M88" s="68">
        <f t="shared" si="21"/>
        <v>30.7</v>
      </c>
      <c r="N88" s="62">
        <f t="shared" si="21"/>
        <v>938.6000000000004</v>
      </c>
      <c r="O88" s="69">
        <f>C88+G88</f>
        <v>68528.1</v>
      </c>
      <c r="P88" s="70">
        <f aca="true" t="shared" si="23" ref="P88:U89">P8+P12+P16+P20+P24+P28+P32+P36+P40+P44+P48+P52+P56+P60+P64+P68+P72+P76+P80+P84</f>
        <v>88460.95256</v>
      </c>
      <c r="Q88" s="71">
        <f t="shared" si="23"/>
        <v>31340.299999999996</v>
      </c>
      <c r="R88" s="72">
        <f t="shared" si="23"/>
        <v>30421.15</v>
      </c>
      <c r="S88" s="72">
        <f t="shared" si="23"/>
        <v>14051.852559999998</v>
      </c>
      <c r="T88" s="72">
        <f t="shared" si="23"/>
        <v>116.79999999999998</v>
      </c>
      <c r="U88" s="72">
        <f t="shared" si="23"/>
        <v>938.6000000000004</v>
      </c>
      <c r="V88" s="72">
        <f t="shared" si="22"/>
        <v>264.2</v>
      </c>
      <c r="W88" s="72">
        <f t="shared" si="22"/>
        <v>3254.4500000000003</v>
      </c>
      <c r="X88" s="72"/>
      <c r="Y88" s="72">
        <f t="shared" si="22"/>
        <v>1629.3</v>
      </c>
      <c r="Z88" s="72">
        <f t="shared" si="22"/>
        <v>209</v>
      </c>
      <c r="AA88" s="72">
        <f>AA8+AA12+AA16+AA20+AA24+AA28+AA32+AA36+AA40+AA44+AA48+AA52+AA56+AA60+AA64+AA68+AA72+AA76+AA80+AA84</f>
        <v>90.19999999999999</v>
      </c>
      <c r="AB88" s="72">
        <f t="shared" si="22"/>
        <v>6145.099999999999</v>
      </c>
      <c r="AC88" s="73">
        <f>O88-P88+0.1</f>
        <v>-19932.75256</v>
      </c>
      <c r="AF88" s="17"/>
    </row>
    <row r="89" spans="1:32" ht="24" customHeight="1">
      <c r="A89" s="120"/>
      <c r="B89" s="74" t="s">
        <v>34</v>
      </c>
      <c r="C89" s="54">
        <f>D89+F89</f>
        <v>29918.000000000007</v>
      </c>
      <c r="D89" s="72">
        <f t="shared" si="20"/>
        <v>27140.000000000007</v>
      </c>
      <c r="E89" s="72">
        <f t="shared" si="20"/>
        <v>2904.6000000000004</v>
      </c>
      <c r="F89" s="72">
        <f t="shared" si="20"/>
        <v>2777.9999999999995</v>
      </c>
      <c r="G89" s="63">
        <f>SUM(H89:N89)</f>
        <v>11449.648140000001</v>
      </c>
      <c r="H89" s="62">
        <f t="shared" si="21"/>
        <v>0</v>
      </c>
      <c r="I89" s="62">
        <f>I9+I13+I17+I21+I25+I29+I33+I37+I41+I45+I49+I53+I57+I61+I65+I69+I73+I77+I81+I85</f>
        <v>3420</v>
      </c>
      <c r="J89" s="62">
        <f>J9+J13+J17+J21+J25+J29+J33+J37+J41+J45+J49+J53+J57+J61+J65+J69+J73+J77+J81+J85</f>
        <v>6767.5</v>
      </c>
      <c r="K89" s="62">
        <f>K9+K13+K17+K21+K25+K29+K33+K37+K41+K45+K49+K53+K57+K61+K65+K69+K73+K77+K81+K85</f>
        <v>250</v>
      </c>
      <c r="L89" s="62">
        <f t="shared" si="21"/>
        <v>58.048140000000004</v>
      </c>
      <c r="M89" s="62">
        <f t="shared" si="21"/>
        <v>15.5</v>
      </c>
      <c r="N89" s="62">
        <f t="shared" si="21"/>
        <v>938.6000000000004</v>
      </c>
      <c r="O89" s="69">
        <f>C89+G89</f>
        <v>41367.648140000005</v>
      </c>
      <c r="P89" s="70">
        <f t="shared" si="23"/>
        <v>56498.26267</v>
      </c>
      <c r="Q89" s="71">
        <f>Q9+Q13+Q17+Q21+Q25+Q29+Q33+Q37+Q41+Q45+Q49+Q53+Q57+Q61+Q65+Q69+Q73+Q77+Q81+Q85</f>
        <v>20527.800000000003</v>
      </c>
      <c r="R89" s="72">
        <f t="shared" si="22"/>
        <v>22394</v>
      </c>
      <c r="S89" s="72">
        <f t="shared" si="22"/>
        <v>8951.737259999998</v>
      </c>
      <c r="T89" s="72">
        <f t="shared" si="22"/>
        <v>49.42174</v>
      </c>
      <c r="U89" s="72">
        <f t="shared" si="22"/>
        <v>522.9499999999999</v>
      </c>
      <c r="V89" s="72">
        <f t="shared" si="22"/>
        <v>113.9</v>
      </c>
      <c r="W89" s="72">
        <f t="shared" si="22"/>
        <v>2381.25367</v>
      </c>
      <c r="X89" s="72"/>
      <c r="Y89" s="72">
        <f t="shared" si="22"/>
        <v>1164.8</v>
      </c>
      <c r="Z89" s="72">
        <f t="shared" si="22"/>
        <v>165.4</v>
      </c>
      <c r="AA89" s="72">
        <f>AA9+AA13+AA17+AA21+AA25+AA29+AA33+AA37+AA41+AA45+AA49+AA53+AA57+AA61+AA65+AA69+AA73+AA77+AA81+AA85</f>
        <v>47.99999999999999</v>
      </c>
      <c r="AB89" s="72">
        <f t="shared" si="22"/>
        <v>179</v>
      </c>
      <c r="AC89" s="73">
        <f>O89-P89</f>
        <v>-15130.614529999992</v>
      </c>
      <c r="AD89" s="16">
        <f>Q89-C89</f>
        <v>-9390.200000000004</v>
      </c>
      <c r="AF89" s="17"/>
    </row>
    <row r="90" spans="1:32" ht="18.75" customHeight="1">
      <c r="A90" s="121"/>
      <c r="B90" s="75" t="s">
        <v>35</v>
      </c>
      <c r="C90" s="76">
        <f aca="true" t="shared" si="24" ref="C90:AB90">C89/C88%</f>
        <v>60.30797017458633</v>
      </c>
      <c r="D90" s="77">
        <f t="shared" si="24"/>
        <v>63.627071279199555</v>
      </c>
      <c r="E90" s="77">
        <f t="shared" si="24"/>
        <v>43.74134088307933</v>
      </c>
      <c r="F90" s="77">
        <f t="shared" si="24"/>
        <v>39.948805706150495</v>
      </c>
      <c r="G90" s="77">
        <f t="shared" si="24"/>
        <v>60.518029852955166</v>
      </c>
      <c r="H90" s="77"/>
      <c r="I90" s="77">
        <f t="shared" si="24"/>
        <v>81.33174791914388</v>
      </c>
      <c r="J90" s="77">
        <f t="shared" si="24"/>
        <v>51.548943884585206</v>
      </c>
      <c r="K90" s="77">
        <f t="shared" si="24"/>
        <v>50</v>
      </c>
      <c r="L90" s="77">
        <f t="shared" si="24"/>
        <v>49.698750000000004</v>
      </c>
      <c r="M90" s="77">
        <f>M89/M88%</f>
        <v>50.4885993485342</v>
      </c>
      <c r="N90" s="77">
        <f>N89/N88%</f>
        <v>100.00000000000001</v>
      </c>
      <c r="O90" s="77">
        <f t="shared" si="24"/>
        <v>60.36596394763608</v>
      </c>
      <c r="P90" s="78">
        <f t="shared" si="24"/>
        <v>63.868024292050414</v>
      </c>
      <c r="Q90" s="78">
        <f t="shared" si="24"/>
        <v>65.49969208973751</v>
      </c>
      <c r="R90" s="77">
        <f t="shared" si="24"/>
        <v>73.61325919631572</v>
      </c>
      <c r="S90" s="77">
        <f t="shared" si="24"/>
        <v>63.705032640906104</v>
      </c>
      <c r="T90" s="77">
        <f t="shared" si="24"/>
        <v>42.31313356164384</v>
      </c>
      <c r="U90" s="77">
        <f t="shared" si="24"/>
        <v>55.715959940336646</v>
      </c>
      <c r="V90" s="77">
        <f t="shared" si="24"/>
        <v>43.111279333838006</v>
      </c>
      <c r="W90" s="77">
        <f t="shared" si="24"/>
        <v>73.16915822950115</v>
      </c>
      <c r="X90" s="77"/>
      <c r="Y90" s="77">
        <f t="shared" si="24"/>
        <v>71.4908242803658</v>
      </c>
      <c r="Z90" s="77">
        <f t="shared" si="24"/>
        <v>79.13875598086125</v>
      </c>
      <c r="AA90" s="77">
        <f t="shared" si="24"/>
        <v>53.215077605321504</v>
      </c>
      <c r="AB90" s="77">
        <f t="shared" si="24"/>
        <v>2.9128899448340957</v>
      </c>
      <c r="AC90" s="43">
        <f>AC89/C89*100</f>
        <v>-50.57361631793565</v>
      </c>
      <c r="AD90" s="36" t="e">
        <f>AD89/AD88*100</f>
        <v>#DIV/0!</v>
      </c>
      <c r="AF90" s="17"/>
    </row>
    <row r="91" spans="1:29" s="27" customFormat="1" ht="24" customHeight="1" hidden="1">
      <c r="A91" s="122" t="s">
        <v>56</v>
      </c>
      <c r="B91" s="79" t="s">
        <v>32</v>
      </c>
      <c r="C91" s="48">
        <f>D91+F91</f>
        <v>31321</v>
      </c>
      <c r="D91" s="80">
        <v>23861</v>
      </c>
      <c r="E91" s="81">
        <v>20310</v>
      </c>
      <c r="F91" s="81">
        <v>7460</v>
      </c>
      <c r="G91" s="80">
        <v>140659.4</v>
      </c>
      <c r="H91" s="80"/>
      <c r="I91" s="81"/>
      <c r="J91" s="81"/>
      <c r="K91" s="80"/>
      <c r="L91" s="80"/>
      <c r="M91" s="80"/>
      <c r="N91" s="80"/>
      <c r="O91" s="80">
        <f>C91+G91</f>
        <v>171980.4</v>
      </c>
      <c r="P91" s="82">
        <f>SUM(Q91:AB91)</f>
        <v>175112.5</v>
      </c>
      <c r="Q91" s="82">
        <f>29023.8-116.8</f>
        <v>28907</v>
      </c>
      <c r="R91" s="83">
        <v>75</v>
      </c>
      <c r="S91" s="83">
        <v>1193</v>
      </c>
      <c r="T91" s="83">
        <v>116.8</v>
      </c>
      <c r="U91" s="83"/>
      <c r="V91" s="83">
        <v>200</v>
      </c>
      <c r="W91" s="83">
        <v>17645.4</v>
      </c>
      <c r="X91" s="83"/>
      <c r="Y91" s="83">
        <v>104824.7</v>
      </c>
      <c r="Z91" s="83">
        <v>15863.5</v>
      </c>
      <c r="AA91" s="83">
        <v>150</v>
      </c>
      <c r="AB91" s="83">
        <f>4551+938.6+116.8+30.7+500</f>
        <v>6137.1</v>
      </c>
      <c r="AC91" s="83">
        <f>O91-P91</f>
        <v>-3132.100000000006</v>
      </c>
    </row>
    <row r="92" spans="1:32" ht="24" customHeight="1">
      <c r="A92" s="123"/>
      <c r="B92" s="84" t="s">
        <v>33</v>
      </c>
      <c r="C92" s="48">
        <f>D92+F92</f>
        <v>29894</v>
      </c>
      <c r="D92" s="80">
        <v>22202.5</v>
      </c>
      <c r="E92" s="81">
        <v>18557</v>
      </c>
      <c r="F92" s="81">
        <v>7691.5</v>
      </c>
      <c r="G92" s="80">
        <v>281802.4</v>
      </c>
      <c r="H92" s="80"/>
      <c r="I92" s="81"/>
      <c r="J92" s="81">
        <v>6145.2</v>
      </c>
      <c r="K92" s="80"/>
      <c r="L92" s="80">
        <v>116.8</v>
      </c>
      <c r="M92" s="80">
        <v>51307.9</v>
      </c>
      <c r="N92" s="80">
        <v>938.6</v>
      </c>
      <c r="O92" s="85">
        <v>311696.4</v>
      </c>
      <c r="P92" s="86">
        <f>SUM(Q92:AB92)</f>
        <v>360522.67232000007</v>
      </c>
      <c r="Q92" s="86">
        <v>23675.7</v>
      </c>
      <c r="R92" s="87">
        <v>122489.4</v>
      </c>
      <c r="S92" s="87">
        <v>1548.6</v>
      </c>
      <c r="T92" s="87"/>
      <c r="U92" s="87"/>
      <c r="V92" s="87">
        <v>500</v>
      </c>
      <c r="W92" s="87">
        <v>75474.7</v>
      </c>
      <c r="X92" s="87">
        <v>992.4</v>
      </c>
      <c r="Y92" s="87">
        <v>100963.5</v>
      </c>
      <c r="Z92" s="87">
        <v>14960.87232</v>
      </c>
      <c r="AA92" s="87">
        <v>630.2</v>
      </c>
      <c r="AB92" s="87">
        <v>19287.3</v>
      </c>
      <c r="AC92" s="87">
        <f>O92-P92</f>
        <v>-48826.27232000005</v>
      </c>
      <c r="AF92" s="17"/>
    </row>
    <row r="93" spans="1:32" ht="24" customHeight="1">
      <c r="A93" s="123"/>
      <c r="B93" s="88" t="s">
        <v>34</v>
      </c>
      <c r="C93" s="54">
        <f>D93+F93</f>
        <v>15518.8</v>
      </c>
      <c r="D93" s="89">
        <v>11646.9</v>
      </c>
      <c r="E93" s="90">
        <v>8714.5</v>
      </c>
      <c r="F93" s="90">
        <v>3871.9</v>
      </c>
      <c r="G93" s="80">
        <v>156655.4</v>
      </c>
      <c r="H93" s="89"/>
      <c r="I93" s="90"/>
      <c r="J93" s="90">
        <v>171.2</v>
      </c>
      <c r="K93" s="89"/>
      <c r="L93" s="91">
        <v>87.6</v>
      </c>
      <c r="M93" s="91">
        <v>39318.5</v>
      </c>
      <c r="N93" s="91">
        <v>938.6</v>
      </c>
      <c r="O93" s="89">
        <f>C93+G93</f>
        <v>172174.19999999998</v>
      </c>
      <c r="P93" s="86">
        <f>SUM(Q93:AB93)</f>
        <v>182514.6</v>
      </c>
      <c r="Q93" s="86">
        <v>18572.5</v>
      </c>
      <c r="R93" s="87">
        <v>59009.2</v>
      </c>
      <c r="S93" s="87">
        <v>1051</v>
      </c>
      <c r="T93" s="87"/>
      <c r="U93" s="87"/>
      <c r="V93" s="87">
        <v>289.8</v>
      </c>
      <c r="W93" s="87">
        <v>14022.6</v>
      </c>
      <c r="X93" s="87">
        <v>96.2</v>
      </c>
      <c r="Y93" s="87">
        <v>66850.2</v>
      </c>
      <c r="Z93" s="87">
        <v>10588.1</v>
      </c>
      <c r="AA93" s="87">
        <v>585.3</v>
      </c>
      <c r="AB93" s="87">
        <v>11449.7</v>
      </c>
      <c r="AC93" s="87">
        <f>O93-P93</f>
        <v>-10340.400000000023</v>
      </c>
      <c r="AD93" s="16">
        <f>Q93-C93</f>
        <v>3053.7000000000007</v>
      </c>
      <c r="AF93" s="17"/>
    </row>
    <row r="94" spans="1:32" ht="17.25" customHeight="1">
      <c r="A94" s="124"/>
      <c r="B94" s="92" t="s">
        <v>35</v>
      </c>
      <c r="C94" s="76">
        <f aca="true" t="shared" si="25" ref="C94:AB94">C93/C92%</f>
        <v>51.91275841305947</v>
      </c>
      <c r="D94" s="90">
        <f t="shared" si="25"/>
        <v>52.45760612543632</v>
      </c>
      <c r="E94" s="90">
        <f t="shared" si="25"/>
        <v>46.960715632914805</v>
      </c>
      <c r="F94" s="90">
        <f t="shared" si="25"/>
        <v>50.33998569849834</v>
      </c>
      <c r="G94" s="90">
        <f t="shared" si="25"/>
        <v>55.59051306873184</v>
      </c>
      <c r="H94" s="90"/>
      <c r="I94" s="90"/>
      <c r="J94" s="90"/>
      <c r="K94" s="90"/>
      <c r="L94" s="90">
        <f t="shared" si="25"/>
        <v>75</v>
      </c>
      <c r="M94" s="90"/>
      <c r="N94" s="90">
        <f t="shared" si="25"/>
        <v>99.99999999999999</v>
      </c>
      <c r="O94" s="90">
        <f t="shared" si="25"/>
        <v>55.23778907937338</v>
      </c>
      <c r="P94" s="93">
        <f t="shared" si="25"/>
        <v>50.62499920615255</v>
      </c>
      <c r="Q94" s="93">
        <f t="shared" si="25"/>
        <v>78.44541027298031</v>
      </c>
      <c r="R94" s="90">
        <f t="shared" si="25"/>
        <v>48.17494411761344</v>
      </c>
      <c r="S94" s="90">
        <f t="shared" si="25"/>
        <v>67.86775151749968</v>
      </c>
      <c r="T94" s="90"/>
      <c r="U94" s="90"/>
      <c r="V94" s="90">
        <f t="shared" si="25"/>
        <v>57.96</v>
      </c>
      <c r="W94" s="90">
        <f t="shared" si="25"/>
        <v>18.57920601208087</v>
      </c>
      <c r="X94" s="90">
        <f t="shared" si="25"/>
        <v>9.69367190648932</v>
      </c>
      <c r="Y94" s="90">
        <f t="shared" si="25"/>
        <v>66.21224501923962</v>
      </c>
      <c r="Z94" s="90">
        <f t="shared" si="25"/>
        <v>70.7719427953784</v>
      </c>
      <c r="AA94" s="90">
        <f t="shared" si="25"/>
        <v>92.87527768962232</v>
      </c>
      <c r="AB94" s="90">
        <f t="shared" si="25"/>
        <v>59.36393378025956</v>
      </c>
      <c r="AC94" s="43">
        <f>AC93/C93*100</f>
        <v>-66.63144057530236</v>
      </c>
      <c r="AD94" s="36" t="e">
        <f>AD93/AD92*100</f>
        <v>#DIV/0!</v>
      </c>
      <c r="AF94" s="17"/>
    </row>
    <row r="95" spans="1:29" s="27" customFormat="1" ht="1.5" customHeight="1" hidden="1">
      <c r="A95" s="115" t="s">
        <v>57</v>
      </c>
      <c r="B95" s="94" t="s">
        <v>32</v>
      </c>
      <c r="C95" s="48">
        <f>D95+F95</f>
        <v>79639</v>
      </c>
      <c r="D95" s="95">
        <f aca="true" t="shared" si="26" ref="D95:F97">D87+D91</f>
        <v>66194</v>
      </c>
      <c r="E95" s="95">
        <f t="shared" si="26"/>
        <v>27080</v>
      </c>
      <c r="F95" s="95">
        <f t="shared" si="26"/>
        <v>13445</v>
      </c>
      <c r="G95" s="96">
        <f>SUM(G87,G91)</f>
        <v>146796.5</v>
      </c>
      <c r="H95" s="95">
        <f>H87+H91</f>
        <v>0</v>
      </c>
      <c r="I95" s="95">
        <f>I87+I91</f>
        <v>4551</v>
      </c>
      <c r="J95" s="95"/>
      <c r="K95" s="95"/>
      <c r="L95" s="95">
        <v>116.8</v>
      </c>
      <c r="M95" s="95"/>
      <c r="N95" s="95">
        <v>938.6</v>
      </c>
      <c r="O95" s="96">
        <f>C95+G95</f>
        <v>226435.5</v>
      </c>
      <c r="P95" s="97">
        <f>SUM(Q95:AB95)</f>
        <v>230135.9</v>
      </c>
      <c r="Q95" s="98">
        <f aca="true" t="shared" si="27" ref="Q95:AB97">Q87+Q91</f>
        <v>60254.8</v>
      </c>
      <c r="R95" s="99">
        <f t="shared" si="27"/>
        <v>6001.7</v>
      </c>
      <c r="S95" s="99">
        <f t="shared" si="27"/>
        <v>14552.4</v>
      </c>
      <c r="T95" s="99">
        <f t="shared" si="27"/>
        <v>233.59999999999997</v>
      </c>
      <c r="U95" s="99">
        <f t="shared" si="27"/>
        <v>938.6000000000004</v>
      </c>
      <c r="V95" s="99">
        <f t="shared" si="27"/>
        <v>429.5</v>
      </c>
      <c r="W95" s="99">
        <f t="shared" si="27"/>
        <v>18908.7</v>
      </c>
      <c r="X95" s="99"/>
      <c r="Y95" s="99">
        <f t="shared" si="27"/>
        <v>106366</v>
      </c>
      <c r="Z95" s="99">
        <f t="shared" si="27"/>
        <v>16046.5</v>
      </c>
      <c r="AA95" s="99">
        <f t="shared" si="27"/>
        <v>267</v>
      </c>
      <c r="AB95" s="99">
        <f t="shared" si="27"/>
        <v>6137.1</v>
      </c>
      <c r="AC95" s="100">
        <f>O95-P95</f>
        <v>-3700.399999999994</v>
      </c>
    </row>
    <row r="96" spans="1:33" ht="24" customHeight="1">
      <c r="A96" s="115"/>
      <c r="B96" s="101" t="s">
        <v>33</v>
      </c>
      <c r="C96" s="48">
        <f>D96+F96-251.9</f>
        <v>79250.8</v>
      </c>
      <c r="D96" s="95">
        <f>D88+D92</f>
        <v>64857.299999999996</v>
      </c>
      <c r="E96" s="95">
        <f t="shared" si="26"/>
        <v>25197.4</v>
      </c>
      <c r="F96" s="95">
        <f t="shared" si="26"/>
        <v>14645.4</v>
      </c>
      <c r="G96" s="96">
        <v>275657.2</v>
      </c>
      <c r="H96" s="95">
        <f>H88+H92</f>
        <v>0</v>
      </c>
      <c r="I96" s="95">
        <v>71500</v>
      </c>
      <c r="J96" s="95"/>
      <c r="K96" s="95"/>
      <c r="L96" s="95">
        <v>116.8</v>
      </c>
      <c r="M96" s="95"/>
      <c r="N96" s="95">
        <v>938.6</v>
      </c>
      <c r="O96" s="85">
        <v>354908</v>
      </c>
      <c r="P96" s="102">
        <v>423299.2</v>
      </c>
      <c r="Q96" s="103">
        <f>Q88+Q92</f>
        <v>55016</v>
      </c>
      <c r="R96" s="104">
        <f t="shared" si="27"/>
        <v>152910.55</v>
      </c>
      <c r="S96" s="104">
        <f t="shared" si="27"/>
        <v>15600.452559999998</v>
      </c>
      <c r="T96" s="104">
        <f t="shared" si="27"/>
        <v>116.79999999999998</v>
      </c>
      <c r="U96" s="104">
        <f t="shared" si="27"/>
        <v>938.6000000000004</v>
      </c>
      <c r="V96" s="104">
        <f t="shared" si="27"/>
        <v>764.2</v>
      </c>
      <c r="W96" s="104">
        <f t="shared" si="27"/>
        <v>78729.15</v>
      </c>
      <c r="X96" s="104">
        <f t="shared" si="27"/>
        <v>992.4</v>
      </c>
      <c r="Y96" s="104">
        <f t="shared" si="27"/>
        <v>102592.8</v>
      </c>
      <c r="Z96" s="104">
        <f t="shared" si="27"/>
        <v>15169.87232</v>
      </c>
      <c r="AA96" s="104">
        <f t="shared" si="27"/>
        <v>720.4000000000001</v>
      </c>
      <c r="AB96" s="104">
        <f>AB88+AB92-7380.6-300</f>
        <v>17751.799999999996</v>
      </c>
      <c r="AC96" s="100">
        <f>O96-P96</f>
        <v>-68391.20000000001</v>
      </c>
      <c r="AF96" s="17"/>
      <c r="AG96" s="16">
        <v>-14784.8</v>
      </c>
    </row>
    <row r="97" spans="1:32" ht="24" customHeight="1">
      <c r="A97" s="115"/>
      <c r="B97" s="101" t="s">
        <v>34</v>
      </c>
      <c r="C97" s="48">
        <f>D97+F97</f>
        <v>45436.80000000001</v>
      </c>
      <c r="D97" s="95">
        <f t="shared" si="26"/>
        <v>38786.90000000001</v>
      </c>
      <c r="E97" s="95">
        <f t="shared" si="26"/>
        <v>11619.1</v>
      </c>
      <c r="F97" s="95">
        <f t="shared" si="26"/>
        <v>6649.9</v>
      </c>
      <c r="G97" s="96">
        <v>156484.2</v>
      </c>
      <c r="H97" s="95">
        <f>H89+H93</f>
        <v>0</v>
      </c>
      <c r="I97" s="95">
        <v>16200.5</v>
      </c>
      <c r="J97" s="95"/>
      <c r="K97" s="95"/>
      <c r="L97" s="95">
        <f>L89+L93</f>
        <v>145.64814</v>
      </c>
      <c r="M97" s="95"/>
      <c r="N97" s="95">
        <v>938.6</v>
      </c>
      <c r="O97" s="85">
        <v>201921.4</v>
      </c>
      <c r="P97" s="105">
        <v>227392.1</v>
      </c>
      <c r="Q97" s="103">
        <f>Q89+Q93</f>
        <v>39100.3</v>
      </c>
      <c r="R97" s="104">
        <f t="shared" si="27"/>
        <v>81403.2</v>
      </c>
      <c r="S97" s="104">
        <f t="shared" si="27"/>
        <v>10002.737259999998</v>
      </c>
      <c r="T97" s="106">
        <f t="shared" si="27"/>
        <v>49.42174</v>
      </c>
      <c r="U97" s="104">
        <f t="shared" si="27"/>
        <v>522.9499999999999</v>
      </c>
      <c r="V97" s="104">
        <f t="shared" si="27"/>
        <v>403.70000000000005</v>
      </c>
      <c r="W97" s="104">
        <f t="shared" si="27"/>
        <v>16403.85367</v>
      </c>
      <c r="X97" s="104">
        <f t="shared" si="27"/>
        <v>96.2</v>
      </c>
      <c r="Y97" s="104">
        <f t="shared" si="27"/>
        <v>68015</v>
      </c>
      <c r="Z97" s="104">
        <f t="shared" si="27"/>
        <v>10753.5</v>
      </c>
      <c r="AA97" s="104">
        <f t="shared" si="27"/>
        <v>633.3</v>
      </c>
      <c r="AB97" s="104">
        <f>AB89+AB93-1995.6+43.7</f>
        <v>9676.800000000001</v>
      </c>
      <c r="AC97" s="100">
        <f>O97-P97</f>
        <v>-25470.70000000001</v>
      </c>
      <c r="AD97" s="16">
        <f>Q97-C97</f>
        <v>-6336.500000000007</v>
      </c>
      <c r="AE97" s="16" t="e">
        <f>P97-R97-U97-#REF!-V97-W97-AB97</f>
        <v>#REF!</v>
      </c>
      <c r="AF97" s="17" t="e">
        <f>65936.5/AE97*100</f>
        <v>#REF!</v>
      </c>
    </row>
    <row r="98" spans="1:32" ht="18.75" customHeight="1">
      <c r="A98" s="115"/>
      <c r="B98" s="107" t="s">
        <v>35</v>
      </c>
      <c r="C98" s="76">
        <f>C97/C96%</f>
        <v>57.332922822230195</v>
      </c>
      <c r="D98" s="108">
        <f aca="true" t="shared" si="28" ref="D98:AB98">D97/D96%</f>
        <v>59.80344541015431</v>
      </c>
      <c r="E98" s="108">
        <f t="shared" si="28"/>
        <v>46.11229730051513</v>
      </c>
      <c r="F98" s="108">
        <f t="shared" si="28"/>
        <v>45.406066068526634</v>
      </c>
      <c r="G98" s="108">
        <f t="shared" si="28"/>
        <v>56.767681018308245</v>
      </c>
      <c r="H98" s="108"/>
      <c r="I98" s="108">
        <f t="shared" si="28"/>
        <v>22.65804195804196</v>
      </c>
      <c r="J98" s="108"/>
      <c r="K98" s="108"/>
      <c r="L98" s="108">
        <f t="shared" si="28"/>
        <v>124.69875000000002</v>
      </c>
      <c r="M98" s="108"/>
      <c r="N98" s="108">
        <f t="shared" si="28"/>
        <v>99.99999999999999</v>
      </c>
      <c r="O98" s="108">
        <f t="shared" si="28"/>
        <v>56.894011969299086</v>
      </c>
      <c r="P98" s="109">
        <f t="shared" si="28"/>
        <v>53.71900065013116</v>
      </c>
      <c r="Q98" s="109">
        <f t="shared" si="28"/>
        <v>71.0707794096263</v>
      </c>
      <c r="R98" s="108">
        <f t="shared" si="28"/>
        <v>53.23582970566779</v>
      </c>
      <c r="S98" s="108">
        <f t="shared" si="28"/>
        <v>64.1182505541365</v>
      </c>
      <c r="T98" s="108">
        <f t="shared" si="28"/>
        <v>42.31313356164384</v>
      </c>
      <c r="U98" s="108">
        <f t="shared" si="28"/>
        <v>55.715959940336646</v>
      </c>
      <c r="V98" s="108">
        <f t="shared" si="28"/>
        <v>52.82648521329495</v>
      </c>
      <c r="W98" s="108">
        <f t="shared" si="28"/>
        <v>20.835806902525942</v>
      </c>
      <c r="X98" s="108">
        <f t="shared" si="28"/>
        <v>9.69367190648932</v>
      </c>
      <c r="Y98" s="108">
        <f t="shared" si="28"/>
        <v>66.29607535811479</v>
      </c>
      <c r="Z98" s="108">
        <f t="shared" si="28"/>
        <v>70.88721495580788</v>
      </c>
      <c r="AA98" s="108">
        <f t="shared" si="28"/>
        <v>87.90949472515268</v>
      </c>
      <c r="AB98" s="108">
        <f t="shared" si="28"/>
        <v>54.51165515609687</v>
      </c>
      <c r="AC98" s="43">
        <f>AC97/C97*100</f>
        <v>-56.05742481864922</v>
      </c>
      <c r="AD98" s="36" t="e">
        <f>AD97/AD96*100</f>
        <v>#DIV/0!</v>
      </c>
      <c r="AF98" s="17"/>
    </row>
  </sheetData>
  <mergeCells count="57">
    <mergeCell ref="Z2:AC2"/>
    <mergeCell ref="Z3:AC3"/>
    <mergeCell ref="A4:A6"/>
    <mergeCell ref="B4:B6"/>
    <mergeCell ref="C4:C6"/>
    <mergeCell ref="D4:F4"/>
    <mergeCell ref="G4:G6"/>
    <mergeCell ref="H4:N4"/>
    <mergeCell ref="O4:O6"/>
    <mergeCell ref="P4:P6"/>
    <mergeCell ref="Q4:AB4"/>
    <mergeCell ref="AC4:AC6"/>
    <mergeCell ref="D5:D6"/>
    <mergeCell ref="E5:E6"/>
    <mergeCell ref="F5:F6"/>
    <mergeCell ref="H5:H6"/>
    <mergeCell ref="I5:I6"/>
    <mergeCell ref="J5:J6"/>
    <mergeCell ref="K5:K6"/>
    <mergeCell ref="L5:L6"/>
    <mergeCell ref="U5:U6"/>
    <mergeCell ref="V5:V6"/>
    <mergeCell ref="M5:M6"/>
    <mergeCell ref="N5:N6"/>
    <mergeCell ref="Q5:Q6"/>
    <mergeCell ref="R5:R6"/>
    <mergeCell ref="AA5:AA6"/>
    <mergeCell ref="AB5:AB6"/>
    <mergeCell ref="A7:A10"/>
    <mergeCell ref="A11:A14"/>
    <mergeCell ref="W5:W6"/>
    <mergeCell ref="X5:X6"/>
    <mergeCell ref="Y5:Y6"/>
    <mergeCell ref="Z5:Z6"/>
    <mergeCell ref="S5:S6"/>
    <mergeCell ref="T5:T6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95:A98"/>
    <mergeCell ref="A79:A82"/>
    <mergeCell ref="A83:A86"/>
    <mergeCell ref="A87:A90"/>
    <mergeCell ref="A91:A94"/>
  </mergeCells>
  <printOptions/>
  <pageMargins left="0.1968503937007874" right="0.1968503937007874" top="0" bottom="0" header="0.15748031496062992" footer="0.15748031496062992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2009-12-02T07:06:20Z</cp:lastPrinted>
  <dcterms:created xsi:type="dcterms:W3CDTF">2009-12-02T06:50:09Z</dcterms:created>
  <dcterms:modified xsi:type="dcterms:W3CDTF">2009-12-02T07:06:47Z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